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B\2024 PAB\"/>
    </mc:Choice>
  </mc:AlternateContent>
  <xr:revisionPtr revIDLastSave="0" documentId="13_ncr:1_{279BFED3-C76F-475C-AA97-5A3331CF9705}" xr6:coauthVersionLast="47" xr6:coauthVersionMax="47" xr10:uidLastSave="{00000000-0000-0000-0000-000000000000}"/>
  <bookViews>
    <workbookView xWindow="-120" yWindow="-120" windowWidth="29040" windowHeight="15840" tabRatio="962" xr2:uid="{00000000-000D-0000-FFFF-FFFF00000000}"/>
  </bookViews>
  <sheets>
    <sheet name="Totals" sheetId="5" r:id="rId1"/>
    <sheet name="2024 CF" sheetId="104" r:id="rId2"/>
    <sheet name="Aug 15" sheetId="103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1 CF" sheetId="101" r:id="rId24"/>
    <sheet name="2022 CF" sheetId="102" r:id="rId25"/>
    <sheet name="2023 CF" sheetId="105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OTHER'!$A$6:$S$95</definedName>
    <definedName name="_xlnm.Print_Area" localSheetId="9">'REGION 1'!$A$1:$P$15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MRB'!$A$1:$R$58</definedName>
    <definedName name="_xlnm.Print_Area" localSheetId="4">'SC2 State Voted'!$A$1:$P$24</definedName>
    <definedName name="_xlnm.Print_Area" localSheetId="5">'SC3 Small Issue IDBs'!$A$1:$P$27</definedName>
    <definedName name="_xlnm.Print_Area" localSheetId="7">'SC4 MF- TDHCA'!$A$1:$P$22</definedName>
    <definedName name="_xlnm.Print_Area" localSheetId="22">'SC5 OTHER'!$A$1:$P$112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86" l="1"/>
  <c r="O29" i="86"/>
  <c r="M70" i="104"/>
  <c r="K70" i="104"/>
  <c r="I70" i="104"/>
  <c r="M82" i="104"/>
  <c r="M81" i="104"/>
  <c r="M80" i="104"/>
  <c r="K82" i="104"/>
  <c r="I82" i="104"/>
  <c r="K81" i="104"/>
  <c r="I81" i="104"/>
  <c r="K80" i="104"/>
  <c r="I80" i="104"/>
  <c r="J66" i="104"/>
  <c r="M62" i="104"/>
  <c r="M61" i="104"/>
  <c r="M60" i="104"/>
  <c r="K62" i="104"/>
  <c r="I62" i="104"/>
  <c r="G62" i="104"/>
  <c r="K61" i="104"/>
  <c r="I61" i="104"/>
  <c r="G61" i="104"/>
  <c r="K60" i="104"/>
  <c r="I60" i="104"/>
  <c r="G60" i="104"/>
  <c r="M56" i="104"/>
  <c r="M55" i="104"/>
  <c r="M54" i="104"/>
  <c r="M53" i="104"/>
  <c r="M52" i="104"/>
  <c r="M51" i="104"/>
  <c r="K57" i="104"/>
  <c r="I57" i="104"/>
  <c r="G57" i="104"/>
  <c r="J57" i="104" s="1"/>
  <c r="M57" i="104" s="1"/>
  <c r="K56" i="104"/>
  <c r="I56" i="104"/>
  <c r="G56" i="104"/>
  <c r="K55" i="104"/>
  <c r="I55" i="104"/>
  <c r="G55" i="104"/>
  <c r="K54" i="104"/>
  <c r="I54" i="104"/>
  <c r="G54" i="104"/>
  <c r="K53" i="104"/>
  <c r="I53" i="104"/>
  <c r="G53" i="104"/>
  <c r="K52" i="104"/>
  <c r="I52" i="104"/>
  <c r="G52" i="104"/>
  <c r="K51" i="104"/>
  <c r="I51" i="104"/>
  <c r="G51" i="104"/>
  <c r="M49" i="104"/>
  <c r="K49" i="104"/>
  <c r="I49" i="104"/>
  <c r="G49" i="104"/>
  <c r="M48" i="104"/>
  <c r="K48" i="104"/>
  <c r="I48" i="104"/>
  <c r="G48" i="104"/>
  <c r="M64" i="104"/>
  <c r="K64" i="104"/>
  <c r="I64" i="104"/>
  <c r="Q17" i="14" l="1"/>
  <c r="M63" i="104" l="1"/>
  <c r="K63" i="104"/>
  <c r="I63" i="104"/>
  <c r="G63" i="104"/>
  <c r="M50" i="104"/>
  <c r="K50" i="104"/>
  <c r="I50" i="104"/>
  <c r="G50" i="104"/>
  <c r="M75" i="104"/>
  <c r="K75" i="104"/>
  <c r="I75" i="104"/>
  <c r="G75" i="104"/>
  <c r="M85" i="24"/>
  <c r="O85" i="24"/>
  <c r="Q21" i="103"/>
  <c r="L95" i="104"/>
  <c r="M69" i="104"/>
  <c r="K69" i="104"/>
  <c r="I69" i="104"/>
  <c r="M85" i="104"/>
  <c r="K85" i="104"/>
  <c r="I85" i="104"/>
  <c r="G85" i="104"/>
  <c r="M58" i="104"/>
  <c r="K58" i="104"/>
  <c r="I58" i="104"/>
  <c r="G58" i="104"/>
  <c r="M59" i="104"/>
  <c r="K59" i="104"/>
  <c r="I59" i="104"/>
  <c r="G59" i="104"/>
  <c r="G73" i="104"/>
  <c r="J73" i="104" s="1"/>
  <c r="M73" i="104" s="1"/>
  <c r="K73" i="104"/>
  <c r="I73" i="104"/>
  <c r="M93" i="104"/>
  <c r="K93" i="104"/>
  <c r="I93" i="104"/>
  <c r="G93" i="104"/>
  <c r="J95" i="104" l="1"/>
  <c r="M25" i="86"/>
  <c r="O25" i="86"/>
  <c r="M90" i="104"/>
  <c r="K90" i="104"/>
  <c r="I90" i="104"/>
  <c r="G90" i="104"/>
  <c r="M89" i="104"/>
  <c r="K89" i="104"/>
  <c r="I89" i="104"/>
  <c r="G89" i="104"/>
  <c r="O14" i="103"/>
  <c r="K87" i="104"/>
  <c r="M87" i="104"/>
  <c r="I87" i="104"/>
  <c r="G87" i="104"/>
  <c r="M88" i="104"/>
  <c r="K88" i="104"/>
  <c r="I88" i="104"/>
  <c r="G88" i="104"/>
  <c r="O13" i="103"/>
  <c r="L66" i="104"/>
  <c r="M47" i="104"/>
  <c r="M66" i="104" s="1"/>
  <c r="K47" i="104"/>
  <c r="I47" i="104"/>
  <c r="G47" i="104"/>
  <c r="M92" i="104"/>
  <c r="K92" i="104"/>
  <c r="I92" i="104"/>
  <c r="M98" i="104"/>
  <c r="K98" i="104"/>
  <c r="I98" i="104"/>
  <c r="G98" i="104"/>
  <c r="Q23" i="103"/>
  <c r="K71" i="104"/>
  <c r="M71" i="104"/>
  <c r="I71" i="104"/>
  <c r="M74" i="104"/>
  <c r="K74" i="104"/>
  <c r="I74" i="104"/>
  <c r="G74" i="104"/>
  <c r="M78" i="104"/>
  <c r="K78" i="104"/>
  <c r="I78" i="104"/>
  <c r="Q32" i="14"/>
  <c r="Q33" i="14"/>
  <c r="O25" i="24"/>
  <c r="M25" i="24"/>
  <c r="K77" i="104"/>
  <c r="M77" i="104"/>
  <c r="I76" i="104"/>
  <c r="I77" i="104"/>
  <c r="I79" i="104"/>
  <c r="I83" i="104"/>
  <c r="I84" i="104"/>
  <c r="I86" i="104"/>
  <c r="I91" i="104"/>
  <c r="K76" i="104"/>
  <c r="K79" i="104"/>
  <c r="K83" i="104"/>
  <c r="K84" i="104"/>
  <c r="K86" i="104"/>
  <c r="K91" i="104"/>
  <c r="O8" i="30"/>
  <c r="M8" i="30"/>
  <c r="B15" i="93"/>
  <c r="T38" i="102" l="1"/>
  <c r="B21" i="93" l="1"/>
  <c r="M86" i="104"/>
  <c r="G86" i="104"/>
  <c r="O8" i="103"/>
  <c r="M84" i="104"/>
  <c r="M11" i="30"/>
  <c r="O11" i="30"/>
  <c r="M9" i="30"/>
  <c r="O9" i="30"/>
  <c r="M91" i="104" l="1"/>
  <c r="O71" i="24"/>
  <c r="M71" i="24"/>
  <c r="K72" i="104"/>
  <c r="I72" i="104"/>
  <c r="M72" i="104"/>
  <c r="M83" i="104"/>
  <c r="G83" i="104"/>
  <c r="Q41" i="103"/>
  <c r="L38" i="102"/>
  <c r="M76" i="104" l="1"/>
  <c r="M28" i="86"/>
  <c r="O28" i="86"/>
  <c r="M79" i="104"/>
  <c r="M95" i="104" l="1"/>
  <c r="M74" i="24"/>
  <c r="O74" i="24"/>
  <c r="M29" i="24"/>
  <c r="O29" i="24"/>
  <c r="E1" i="73"/>
  <c r="E1" i="44"/>
  <c r="E1" i="74"/>
  <c r="B4" i="93"/>
  <c r="B3" i="93"/>
  <c r="T62" i="105"/>
  <c r="T63" i="105"/>
  <c r="T64" i="105"/>
  <c r="T65" i="105"/>
  <c r="T66" i="105"/>
  <c r="T67" i="105"/>
  <c r="T68" i="105"/>
  <c r="T69" i="105"/>
  <c r="T70" i="105"/>
  <c r="T71" i="105"/>
  <c r="T72" i="105"/>
  <c r="T73" i="105"/>
  <c r="T74" i="105"/>
  <c r="T61" i="105"/>
  <c r="T60" i="105"/>
  <c r="T59" i="105"/>
  <c r="T58" i="105"/>
  <c r="T57" i="105"/>
  <c r="T56" i="105"/>
  <c r="T55" i="105"/>
  <c r="T53" i="105"/>
  <c r="T54" i="105"/>
  <c r="T52" i="105"/>
  <c r="T51" i="105"/>
  <c r="T50" i="105"/>
  <c r="T36" i="105"/>
  <c r="T37" i="105"/>
  <c r="T38" i="105"/>
  <c r="T39" i="105"/>
  <c r="T40" i="105"/>
  <c r="T41" i="105"/>
  <c r="T42" i="105"/>
  <c r="T43" i="105"/>
  <c r="T44" i="105"/>
  <c r="T45" i="105"/>
  <c r="T35" i="105"/>
  <c r="T34" i="105"/>
  <c r="T32" i="105"/>
  <c r="T33" i="105"/>
  <c r="T31" i="105"/>
  <c r="T30" i="105"/>
  <c r="T33" i="102"/>
  <c r="T29" i="102"/>
  <c r="T26" i="102"/>
  <c r="B9" i="93" l="1"/>
  <c r="O23" i="103" l="1"/>
  <c r="M23" i="103"/>
  <c r="G58" i="103"/>
  <c r="O43" i="103"/>
  <c r="M43" i="103"/>
  <c r="Q16" i="103"/>
  <c r="O42" i="103" l="1"/>
  <c r="M42" i="103"/>
  <c r="K42" i="103"/>
  <c r="O41" i="103"/>
  <c r="M41" i="103"/>
  <c r="O45" i="86" l="1"/>
  <c r="M45" i="86"/>
  <c r="J41" i="103"/>
  <c r="K41" i="103" s="1"/>
  <c r="O65" i="24"/>
  <c r="M65" i="24"/>
  <c r="O40" i="103"/>
  <c r="M40" i="103"/>
  <c r="O15" i="86"/>
  <c r="M15" i="86"/>
  <c r="O22" i="103" l="1"/>
  <c r="M22" i="103"/>
  <c r="M80" i="24"/>
  <c r="O80" i="24"/>
  <c r="O66" i="24"/>
  <c r="M66" i="24"/>
  <c r="M44" i="86"/>
  <c r="O44" i="86"/>
  <c r="O60" i="24"/>
  <c r="M60" i="24"/>
  <c r="M41" i="86"/>
  <c r="N41" i="86"/>
  <c r="Q39" i="103"/>
  <c r="N63" i="24"/>
  <c r="O63" i="24" s="1"/>
  <c r="M63" i="24"/>
  <c r="O39" i="103" l="1"/>
  <c r="M39" i="103"/>
  <c r="M7" i="7"/>
  <c r="O7" i="7"/>
  <c r="O21" i="103"/>
  <c r="M21" i="103"/>
  <c r="O13" i="86"/>
  <c r="F27" i="104"/>
  <c r="N26" i="14" l="1"/>
  <c r="O19" i="103"/>
  <c r="M28" i="24"/>
  <c r="N28" i="24"/>
  <c r="O28" i="24" s="1"/>
  <c r="M20" i="103"/>
  <c r="O20" i="103"/>
  <c r="M19" i="103"/>
  <c r="M9" i="7"/>
  <c r="O9" i="7"/>
  <c r="O11" i="86"/>
  <c r="M11" i="86"/>
  <c r="N56" i="24" l="1"/>
  <c r="B22" i="93" s="1"/>
  <c r="J39" i="103"/>
  <c r="N61" i="24"/>
  <c r="O61" i="24" s="1"/>
  <c r="J24" i="103"/>
  <c r="M9" i="86"/>
  <c r="O9" i="86"/>
  <c r="M18" i="103"/>
  <c r="O18" i="103"/>
  <c r="O17" i="103"/>
  <c r="M17" i="103"/>
  <c r="O16" i="103"/>
  <c r="M16" i="103"/>
  <c r="J38" i="103"/>
  <c r="O56" i="24" l="1"/>
  <c r="L51" i="105"/>
  <c r="O9" i="103"/>
  <c r="O10" i="103"/>
  <c r="O11" i="103"/>
  <c r="O12" i="103"/>
  <c r="O15" i="103"/>
  <c r="O7" i="103"/>
  <c r="M8" i="103"/>
  <c r="M9" i="103"/>
  <c r="M10" i="103"/>
  <c r="M11" i="103"/>
  <c r="M12" i="103"/>
  <c r="M13" i="103"/>
  <c r="M14" i="103"/>
  <c r="M15" i="103"/>
  <c r="M7" i="103"/>
  <c r="K14" i="103"/>
  <c r="J8" i="103"/>
  <c r="K8" i="103" s="1"/>
  <c r="J9" i="103"/>
  <c r="K9" i="103" s="1"/>
  <c r="J10" i="103"/>
  <c r="K10" i="103" s="1"/>
  <c r="Q10" i="103" s="1"/>
  <c r="J11" i="103"/>
  <c r="K11" i="103" s="1"/>
  <c r="J12" i="103"/>
  <c r="K12" i="103" s="1"/>
  <c r="J13" i="103"/>
  <c r="K13" i="103" s="1"/>
  <c r="J14" i="103"/>
  <c r="J15" i="103"/>
  <c r="K15" i="103" s="1"/>
  <c r="J16" i="103"/>
  <c r="J17" i="103"/>
  <c r="J18" i="103"/>
  <c r="J19" i="103"/>
  <c r="J20" i="103"/>
  <c r="J21" i="103"/>
  <c r="J22" i="103"/>
  <c r="K22" i="103" s="1"/>
  <c r="J23" i="103"/>
  <c r="K23" i="103" s="1"/>
  <c r="J25" i="103"/>
  <c r="J26" i="103"/>
  <c r="J27" i="103"/>
  <c r="J28" i="103"/>
  <c r="J29" i="103"/>
  <c r="J30" i="103"/>
  <c r="J31" i="103"/>
  <c r="J32" i="103"/>
  <c r="J33" i="103"/>
  <c r="J34" i="103"/>
  <c r="J35" i="103"/>
  <c r="J36" i="103"/>
  <c r="J7" i="103"/>
  <c r="K7" i="103" s="1"/>
  <c r="J37" i="103"/>
  <c r="O24" i="24" l="1"/>
  <c r="M24" i="24" l="1"/>
  <c r="M91" i="24"/>
  <c r="M13" i="7"/>
  <c r="K13" i="7"/>
  <c r="K12" i="7"/>
  <c r="M12" i="7"/>
  <c r="K11" i="7"/>
  <c r="M11" i="7"/>
  <c r="J35" i="14"/>
  <c r="M62" i="24"/>
  <c r="M54" i="24"/>
  <c r="O62" i="24"/>
  <c r="O54" i="24"/>
  <c r="K91" i="24"/>
  <c r="O8" i="7"/>
  <c r="K11" i="30"/>
  <c r="K28" i="86" l="1"/>
  <c r="K27" i="86" l="1"/>
  <c r="M27" i="86"/>
  <c r="B20" i="93"/>
  <c r="O19" i="12"/>
  <c r="L64" i="105" l="1"/>
  <c r="O22" i="24"/>
  <c r="O20" i="18"/>
  <c r="L56" i="105"/>
  <c r="L54" i="105"/>
  <c r="O18" i="12"/>
  <c r="O100" i="24"/>
  <c r="M89" i="24" l="1"/>
  <c r="K89" i="24"/>
  <c r="I89" i="24"/>
  <c r="K26" i="86"/>
  <c r="M26" i="86"/>
  <c r="I26" i="86"/>
  <c r="K25" i="86"/>
  <c r="I25" i="86"/>
  <c r="K24" i="86"/>
  <c r="M24" i="86"/>
  <c r="I24" i="86"/>
  <c r="M23" i="86"/>
  <c r="K23" i="86"/>
  <c r="I23" i="86"/>
  <c r="M22" i="86"/>
  <c r="K22" i="86"/>
  <c r="I22" i="86"/>
  <c r="O22" i="86" s="1"/>
  <c r="M21" i="86"/>
  <c r="K21" i="86"/>
  <c r="I21" i="86"/>
  <c r="L21" i="86" s="1"/>
  <c r="M34" i="14"/>
  <c r="O34" i="14"/>
  <c r="J34" i="14"/>
  <c r="K34" i="14" s="1"/>
  <c r="O7" i="73"/>
  <c r="O17" i="18"/>
  <c r="O9" i="18" l="1"/>
  <c r="M16" i="14" l="1"/>
  <c r="O16" i="14"/>
  <c r="M17" i="14"/>
  <c r="O17" i="14"/>
  <c r="M18" i="14"/>
  <c r="O18" i="14"/>
  <c r="M19" i="14"/>
  <c r="O19" i="14"/>
  <c r="M20" i="14"/>
  <c r="O20" i="14"/>
  <c r="M21" i="14"/>
  <c r="O21" i="14"/>
  <c r="M22" i="14"/>
  <c r="O22" i="14"/>
  <c r="M23" i="14"/>
  <c r="O23" i="14"/>
  <c r="M24" i="14"/>
  <c r="O24" i="14"/>
  <c r="M25" i="14"/>
  <c r="O25" i="14"/>
  <c r="M26" i="14"/>
  <c r="O26" i="14"/>
  <c r="M27" i="14"/>
  <c r="O27" i="14"/>
  <c r="M28" i="14"/>
  <c r="O28" i="14"/>
  <c r="M29" i="14"/>
  <c r="O29" i="14"/>
  <c r="M30" i="14"/>
  <c r="O30" i="14"/>
  <c r="M31" i="14"/>
  <c r="O31" i="14"/>
  <c r="M32" i="14"/>
  <c r="O32" i="14"/>
  <c r="M33" i="14"/>
  <c r="O33" i="14"/>
  <c r="M15" i="14"/>
  <c r="O15" i="14"/>
  <c r="K19" i="14"/>
  <c r="K30" i="14"/>
  <c r="J33" i="14"/>
  <c r="K33" i="14" s="1"/>
  <c r="J32" i="14"/>
  <c r="K32" i="14" s="1"/>
  <c r="J31" i="14"/>
  <c r="K31" i="14" s="1"/>
  <c r="J30" i="14"/>
  <c r="J29" i="14"/>
  <c r="K29" i="14" s="1"/>
  <c r="J28" i="14"/>
  <c r="K28" i="14" s="1"/>
  <c r="J27" i="14"/>
  <c r="K27" i="14" s="1"/>
  <c r="O86" i="24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 l="1"/>
  <c r="K20" i="14" s="1"/>
  <c r="J18" i="14"/>
  <c r="K18" i="14" s="1"/>
  <c r="J16" i="14"/>
  <c r="K16" i="14" s="1"/>
  <c r="J15" i="14"/>
  <c r="K15" i="14" s="1"/>
  <c r="J17" i="14"/>
  <c r="K17" i="14" s="1"/>
  <c r="M12" i="86"/>
  <c r="O12" i="86"/>
  <c r="O13" i="18"/>
  <c r="O19" i="24"/>
  <c r="O14" i="12" l="1"/>
  <c r="J14" i="14"/>
  <c r="L61" i="105"/>
  <c r="O48" i="24"/>
  <c r="O46" i="24"/>
  <c r="K10" i="30"/>
  <c r="M10" i="30"/>
  <c r="M87" i="24"/>
  <c r="K87" i="24"/>
  <c r="M86" i="24"/>
  <c r="K86" i="24"/>
  <c r="K85" i="24"/>
  <c r="L31" i="102" l="1"/>
  <c r="O16" i="12"/>
  <c r="L62" i="105"/>
  <c r="O15" i="24"/>
  <c r="O8" i="19"/>
  <c r="L33" i="105"/>
  <c r="Q13" i="14"/>
  <c r="K20" i="86"/>
  <c r="M20" i="86"/>
  <c r="K9" i="30" l="1"/>
  <c r="B24" i="93"/>
  <c r="K82" i="24"/>
  <c r="M82" i="24"/>
  <c r="I82" i="24"/>
  <c r="O82" i="24" s="1"/>
  <c r="O7" i="77"/>
  <c r="O12" i="12" l="1"/>
  <c r="O42" i="24"/>
  <c r="O43" i="24"/>
  <c r="K8" i="30"/>
  <c r="O10" i="86"/>
  <c r="O11" i="18"/>
  <c r="O7" i="4"/>
  <c r="G33" i="18"/>
  <c r="Q14" i="14"/>
  <c r="O47" i="24"/>
  <c r="O32" i="24"/>
  <c r="K81" i="24"/>
  <c r="M81" i="24"/>
  <c r="M10" i="7"/>
  <c r="K10" i="7"/>
  <c r="O7" i="78"/>
  <c r="O30" i="24"/>
  <c r="O9" i="21"/>
  <c r="O13" i="24"/>
  <c r="K14" i="14"/>
  <c r="M14" i="14"/>
  <c r="O14" i="14"/>
  <c r="O11" i="24" l="1"/>
  <c r="G63" i="86"/>
  <c r="K45" i="86"/>
  <c r="O7" i="21"/>
  <c r="L66" i="105" l="1"/>
  <c r="O18" i="18"/>
  <c r="O7" i="18"/>
  <c r="K77" i="24" l="1"/>
  <c r="M77" i="24"/>
  <c r="K78" i="24"/>
  <c r="M78" i="24"/>
  <c r="K80" i="24"/>
  <c r="M76" i="24"/>
  <c r="K76" i="24"/>
  <c r="I80" i="24"/>
  <c r="I77" i="24"/>
  <c r="O77" i="24" s="1"/>
  <c r="I78" i="24"/>
  <c r="I76" i="24"/>
  <c r="L76" i="24" s="1"/>
  <c r="O8" i="24"/>
  <c r="O31" i="24" l="1"/>
  <c r="M31" i="24"/>
  <c r="K74" i="24" l="1"/>
  <c r="M72" i="24"/>
  <c r="K72" i="24"/>
  <c r="I72" i="24"/>
  <c r="O72" i="24" s="1"/>
  <c r="K29" i="24"/>
  <c r="O68" i="24"/>
  <c r="O7" i="30"/>
  <c r="L40" i="105"/>
  <c r="K44" i="86" l="1"/>
  <c r="M100" i="24" l="1"/>
  <c r="K100" i="24"/>
  <c r="O40" i="86" l="1"/>
  <c r="O39" i="86"/>
  <c r="K29" i="86"/>
  <c r="O34" i="24" l="1"/>
  <c r="O10" i="18" l="1"/>
  <c r="K25" i="24"/>
  <c r="K9" i="86"/>
  <c r="K9" i="7"/>
  <c r="O8" i="18" l="1"/>
  <c r="O16" i="24" l="1"/>
  <c r="K71" i="24"/>
  <c r="G116" i="24"/>
  <c r="O10" i="24"/>
  <c r="M68" i="24"/>
  <c r="K68" i="24"/>
  <c r="O23" i="24"/>
  <c r="M67" i="24"/>
  <c r="M69" i="24"/>
  <c r="K67" i="24"/>
  <c r="K69" i="24"/>
  <c r="I67" i="24"/>
  <c r="O67" i="24" s="1"/>
  <c r="I69" i="24"/>
  <c r="O69" i="24" s="1"/>
  <c r="O27" i="24" l="1"/>
  <c r="O14" i="24" l="1"/>
  <c r="K66" i="24"/>
  <c r="I66" i="24"/>
  <c r="K65" i="24"/>
  <c r="I65" i="24"/>
  <c r="K15" i="86"/>
  <c r="I15" i="86"/>
  <c r="O13" i="14"/>
  <c r="M13" i="14"/>
  <c r="J13" i="14" l="1"/>
  <c r="K13" i="14" s="1"/>
  <c r="M61" i="24"/>
  <c r="K61" i="24"/>
  <c r="O8" i="86"/>
  <c r="O7" i="86"/>
  <c r="O41" i="24"/>
  <c r="O38" i="24"/>
  <c r="O35" i="24"/>
  <c r="M38" i="102" l="1"/>
  <c r="O88" i="24"/>
  <c r="K88" i="24" l="1"/>
  <c r="M88" i="24"/>
  <c r="L55" i="105"/>
  <c r="K13" i="86"/>
  <c r="M13" i="86"/>
  <c r="I13" i="86"/>
  <c r="K41" i="86"/>
  <c r="I41" i="86"/>
  <c r="K40" i="86"/>
  <c r="M40" i="86"/>
  <c r="M39" i="86"/>
  <c r="K39" i="86"/>
  <c r="I40" i="86"/>
  <c r="I39" i="86"/>
  <c r="O7" i="75"/>
  <c r="K62" i="24"/>
  <c r="K60" i="24"/>
  <c r="I62" i="24"/>
  <c r="I60" i="24"/>
  <c r="O20" i="24"/>
  <c r="O33" i="24"/>
  <c r="M56" i="24" l="1"/>
  <c r="K56" i="24"/>
  <c r="K54" i="24" l="1"/>
  <c r="L57" i="105" l="1"/>
  <c r="L50" i="105"/>
  <c r="O13" i="19" l="1"/>
  <c r="O26" i="24"/>
  <c r="K63" i="24"/>
  <c r="I63" i="24"/>
  <c r="M40" i="105"/>
  <c r="L7" i="73"/>
  <c r="M8" i="7"/>
  <c r="K8" i="7"/>
  <c r="K7" i="7"/>
  <c r="L44" i="105" l="1"/>
  <c r="B12" i="93" s="1"/>
  <c r="Q10" i="14"/>
  <c r="J76" i="105"/>
  <c r="G50" i="14"/>
  <c r="I7" i="86"/>
  <c r="K7" i="86"/>
  <c r="M7" i="86"/>
  <c r="I8" i="86"/>
  <c r="K8" i="86"/>
  <c r="M8" i="86"/>
  <c r="I10" i="86"/>
  <c r="K10" i="86"/>
  <c r="M10" i="86"/>
  <c r="I11" i="86"/>
  <c r="K11" i="86"/>
  <c r="I12" i="86"/>
  <c r="K12" i="86"/>
  <c r="K28" i="24"/>
  <c r="I28" i="24"/>
  <c r="O54" i="86"/>
  <c r="N54" i="86"/>
  <c r="L54" i="86"/>
  <c r="H54" i="86"/>
  <c r="M9" i="21"/>
  <c r="K9" i="21"/>
  <c r="H30" i="19"/>
  <c r="M7" i="77"/>
  <c r="K7" i="77"/>
  <c r="I7" i="77"/>
  <c r="I54" i="86" l="1"/>
  <c r="H56" i="86" s="1"/>
  <c r="M50" i="105"/>
  <c r="M20" i="18"/>
  <c r="K20" i="18"/>
  <c r="M7" i="73"/>
  <c r="K7" i="73"/>
  <c r="I7" i="73"/>
  <c r="M74" i="105"/>
  <c r="M72" i="105"/>
  <c r="M71" i="105"/>
  <c r="M70" i="105"/>
  <c r="M67" i="105"/>
  <c r="M68" i="105"/>
  <c r="M66" i="105"/>
  <c r="M65" i="105"/>
  <c r="M59" i="105"/>
  <c r="M60" i="105"/>
  <c r="M58" i="105"/>
  <c r="M56" i="105"/>
  <c r="M57" i="105"/>
  <c r="M45" i="105"/>
  <c r="M42" i="105"/>
  <c r="M43" i="105"/>
  <c r="M41" i="105"/>
  <c r="M33" i="105"/>
  <c r="M34" i="105"/>
  <c r="M35" i="105"/>
  <c r="M36" i="105"/>
  <c r="M37" i="105"/>
  <c r="M38" i="105"/>
  <c r="M39" i="105"/>
  <c r="L32" i="105"/>
  <c r="M32" i="105" s="1"/>
  <c r="L31" i="105"/>
  <c r="M31" i="105" s="1"/>
  <c r="L30" i="105"/>
  <c r="L19" i="102"/>
  <c r="L18" i="102"/>
  <c r="L17" i="102"/>
  <c r="M30" i="105" l="1"/>
  <c r="O12" i="14"/>
  <c r="M12" i="14"/>
  <c r="J12" i="14"/>
  <c r="K12" i="14" s="1"/>
  <c r="Q12" i="14" s="1"/>
  <c r="O7" i="6" l="1"/>
  <c r="K24" i="24" l="1"/>
  <c r="I24" i="24"/>
  <c r="M19" i="12"/>
  <c r="K19" i="12"/>
  <c r="M54" i="105"/>
  <c r="M18" i="12"/>
  <c r="K18" i="12"/>
  <c r="M62" i="105"/>
  <c r="M22" i="24"/>
  <c r="K22" i="24"/>
  <c r="M7" i="30"/>
  <c r="K7" i="30"/>
  <c r="M52" i="105"/>
  <c r="G38" i="19"/>
  <c r="M13" i="19"/>
  <c r="K13" i="19"/>
  <c r="M73" i="105"/>
  <c r="M61" i="105"/>
  <c r="M48" i="24"/>
  <c r="M47" i="24"/>
  <c r="K48" i="24"/>
  <c r="K47" i="24"/>
  <c r="M17" i="18"/>
  <c r="K17" i="18"/>
  <c r="I17" i="18"/>
  <c r="I48" i="24" l="1"/>
  <c r="I47" i="24"/>
  <c r="M55" i="105" l="1"/>
  <c r="M53" i="105"/>
  <c r="B34" i="5"/>
  <c r="M19" i="24"/>
  <c r="K19" i="24"/>
  <c r="I19" i="24"/>
  <c r="M18" i="18"/>
  <c r="K18" i="18"/>
  <c r="I18" i="18"/>
  <c r="M16" i="12"/>
  <c r="M46" i="24"/>
  <c r="K46" i="24"/>
  <c r="I46" i="24"/>
  <c r="K16" i="12"/>
  <c r="I16" i="12"/>
  <c r="M6" i="101"/>
  <c r="M43" i="24"/>
  <c r="M42" i="24"/>
  <c r="K43" i="24"/>
  <c r="K42" i="24"/>
  <c r="M8" i="19"/>
  <c r="K8" i="19"/>
  <c r="K13" i="18"/>
  <c r="M13" i="18"/>
  <c r="M41" i="24"/>
  <c r="M15" i="24"/>
  <c r="K41" i="24"/>
  <c r="K15" i="24"/>
  <c r="M38" i="24"/>
  <c r="K38" i="24"/>
  <c r="M14" i="12"/>
  <c r="K14" i="12"/>
  <c r="I14" i="12"/>
  <c r="M34" i="24"/>
  <c r="K34" i="24"/>
  <c r="M35" i="24"/>
  <c r="K35" i="24"/>
  <c r="B8" i="5"/>
  <c r="M10" i="14"/>
  <c r="I8" i="24"/>
  <c r="I11" i="24"/>
  <c r="I10" i="24"/>
  <c r="I13" i="24"/>
  <c r="I14" i="24"/>
  <c r="I16" i="24"/>
  <c r="I23" i="24"/>
  <c r="I20" i="24"/>
  <c r="I30" i="24"/>
  <c r="I31" i="24"/>
  <c r="I32" i="24"/>
  <c r="I26" i="24"/>
  <c r="I33" i="24"/>
  <c r="M33" i="24"/>
  <c r="K33" i="24"/>
  <c r="M27" i="24"/>
  <c r="K27" i="24"/>
  <c r="M26" i="24"/>
  <c r="K26" i="24"/>
  <c r="M32" i="24"/>
  <c r="K32" i="24"/>
  <c r="I12" i="18"/>
  <c r="K12" i="18"/>
  <c r="M12" i="18"/>
  <c r="M12" i="12"/>
  <c r="K12" i="12"/>
  <c r="I12" i="12"/>
  <c r="O11" i="14"/>
  <c r="O10" i="14"/>
  <c r="M11" i="14"/>
  <c r="J11" i="14" l="1"/>
  <c r="K11" i="14" s="1"/>
  <c r="N11" i="14" s="1"/>
  <c r="Q11" i="14" s="1"/>
  <c r="J10" i="14"/>
  <c r="K10" i="14" s="1"/>
  <c r="H37" i="14"/>
  <c r="I11" i="12"/>
  <c r="O11" i="12" s="1"/>
  <c r="K31" i="24"/>
  <c r="M30" i="24"/>
  <c r="K30" i="24"/>
  <c r="K11" i="18"/>
  <c r="M11" i="18"/>
  <c r="I11" i="18"/>
  <c r="M11" i="12"/>
  <c r="K11" i="12"/>
  <c r="M20" i="24"/>
  <c r="M23" i="24"/>
  <c r="K20" i="24"/>
  <c r="K23" i="24"/>
  <c r="M14" i="24"/>
  <c r="K14" i="24"/>
  <c r="M13" i="24"/>
  <c r="K13" i="24"/>
  <c r="M10" i="18"/>
  <c r="K10" i="18"/>
  <c r="I10" i="18"/>
  <c r="M6" i="105"/>
  <c r="M7" i="105"/>
  <c r="M11" i="105"/>
  <c r="M12" i="105"/>
  <c r="M14" i="105"/>
  <c r="M15" i="105"/>
  <c r="M16" i="105"/>
  <c r="M17" i="105"/>
  <c r="J18" i="105"/>
  <c r="M18" i="105" s="1"/>
  <c r="T18" i="105" s="1"/>
  <c r="I28" i="12" l="1"/>
  <c r="M51" i="105"/>
  <c r="H8" i="5"/>
  <c r="P9" i="14"/>
  <c r="B11" i="93" s="1"/>
  <c r="Q9" i="14" l="1"/>
  <c r="Q37" i="14" s="1"/>
  <c r="M9" i="18"/>
  <c r="K9" i="18"/>
  <c r="K8" i="18"/>
  <c r="M10" i="24" l="1"/>
  <c r="M11" i="24"/>
  <c r="K10" i="24"/>
  <c r="K11" i="24"/>
  <c r="T17" i="105"/>
  <c r="M7" i="78"/>
  <c r="K7" i="78"/>
  <c r="I7" i="78"/>
  <c r="M8" i="18"/>
  <c r="T7" i="105" l="1"/>
  <c r="T11" i="105"/>
  <c r="T12" i="105"/>
  <c r="T20" i="105" s="1"/>
  <c r="T79" i="105" s="1"/>
  <c r="B50" i="93" s="1"/>
  <c r="T14" i="105"/>
  <c r="T15" i="105"/>
  <c r="T16" i="105"/>
  <c r="T6" i="105"/>
  <c r="T47" i="105"/>
  <c r="H27" i="5"/>
  <c r="G27" i="5"/>
  <c r="M8" i="24" l="1"/>
  <c r="K8" i="24"/>
  <c r="M7" i="21"/>
  <c r="K7" i="21"/>
  <c r="M7" i="75"/>
  <c r="K7" i="75"/>
  <c r="I7" i="75"/>
  <c r="G16" i="105"/>
  <c r="G11" i="105"/>
  <c r="M16" i="24" l="1"/>
  <c r="K16" i="24"/>
  <c r="M7" i="18"/>
  <c r="K7" i="18"/>
  <c r="I7" i="18"/>
  <c r="G14" i="105" l="1"/>
  <c r="G13" i="105"/>
  <c r="J13" i="105" s="1"/>
  <c r="M13" i="105" s="1"/>
  <c r="T13" i="105" s="1"/>
  <c r="H106" i="24" l="1"/>
  <c r="G17" i="105" l="1"/>
  <c r="G15" i="105"/>
  <c r="G12" i="105"/>
  <c r="G7" i="105"/>
  <c r="G6" i="105"/>
  <c r="M27" i="104" l="1"/>
  <c r="L27" i="104"/>
  <c r="J27" i="104"/>
  <c r="G27" i="104"/>
  <c r="C8" i="5" l="1"/>
  <c r="O9" i="14"/>
  <c r="M7" i="6"/>
  <c r="K7" i="6"/>
  <c r="E1" i="18" l="1"/>
  <c r="M7" i="4"/>
  <c r="K7" i="4"/>
  <c r="M9" i="14"/>
  <c r="M69" i="105"/>
  <c r="G20" i="105" l="1"/>
  <c r="M20" i="105" l="1"/>
  <c r="L20" i="105"/>
  <c r="J20" i="105"/>
  <c r="F20" i="105"/>
  <c r="C5" i="93"/>
  <c r="M64" i="105"/>
  <c r="M63" i="105"/>
  <c r="T76" i="105" l="1"/>
  <c r="I27" i="5"/>
  <c r="M76" i="105"/>
  <c r="L76" i="105"/>
  <c r="J47" i="105"/>
  <c r="M47" i="105"/>
  <c r="C27" i="5" s="1"/>
  <c r="L47" i="105"/>
  <c r="B27" i="5" l="1"/>
  <c r="M79" i="105"/>
  <c r="J79" i="105"/>
  <c r="M17" i="102"/>
  <c r="J9" i="14"/>
  <c r="M18" i="102" l="1"/>
  <c r="T18" i="102" s="1"/>
  <c r="T17" i="102"/>
  <c r="M19" i="101" l="1"/>
  <c r="M20" i="101"/>
  <c r="T20" i="101" s="1"/>
  <c r="M18" i="101"/>
  <c r="T18" i="101" s="1"/>
  <c r="O106" i="24"/>
  <c r="N106" i="24"/>
  <c r="L106" i="24"/>
  <c r="O9" i="22"/>
  <c r="N9" i="22"/>
  <c r="L9" i="22"/>
  <c r="I9" i="22"/>
  <c r="H9" i="22"/>
  <c r="H11" i="21"/>
  <c r="O30" i="19"/>
  <c r="N30" i="19"/>
  <c r="L30" i="19"/>
  <c r="I30" i="19"/>
  <c r="H25" i="18"/>
  <c r="H10" i="75"/>
  <c r="O28" i="12"/>
  <c r="N28" i="12"/>
  <c r="L28" i="12"/>
  <c r="H28" i="12"/>
  <c r="O9" i="73"/>
  <c r="N9" i="73"/>
  <c r="L9" i="73"/>
  <c r="I9" i="73"/>
  <c r="H9" i="73"/>
  <c r="O9" i="4"/>
  <c r="N9" i="4"/>
  <c r="L9" i="4"/>
  <c r="I9" i="4"/>
  <c r="H9" i="4"/>
  <c r="P37" i="14"/>
  <c r="N37" i="14"/>
  <c r="K37" i="14"/>
  <c r="J37" i="14"/>
  <c r="H13" i="30"/>
  <c r="H10" i="5" l="1"/>
  <c r="T19" i="101"/>
  <c r="T22" i="101" s="1"/>
  <c r="B35" i="5" l="1"/>
  <c r="I8" i="5"/>
  <c r="T95" i="104" l="1"/>
  <c r="G6" i="102"/>
  <c r="J6" i="102" s="1"/>
  <c r="M6" i="102" s="1"/>
  <c r="T6" i="102" s="1"/>
  <c r="T8" i="102" s="1"/>
  <c r="M26" i="102" l="1"/>
  <c r="T40" i="102" l="1"/>
  <c r="T43" i="102" s="1"/>
  <c r="B49" i="93" s="1"/>
  <c r="P45" i="103"/>
  <c r="N45" i="103"/>
  <c r="H45" i="103"/>
  <c r="M31" i="102" l="1"/>
  <c r="T31" i="102" s="1"/>
  <c r="M29" i="102" l="1"/>
  <c r="J45" i="103" l="1"/>
  <c r="Q45" i="103"/>
  <c r="K45" i="103"/>
  <c r="H47" i="103" l="1"/>
  <c r="M19" i="102" l="1"/>
  <c r="T19" i="102" s="1"/>
  <c r="T22" i="102" s="1"/>
  <c r="N15" i="7" l="1"/>
  <c r="L15" i="7"/>
  <c r="I15" i="7"/>
  <c r="H15" i="7"/>
  <c r="O15" i="7" l="1"/>
  <c r="M32" i="102" l="1"/>
  <c r="T32" i="102" s="1"/>
  <c r="H26" i="5" l="1"/>
  <c r="M33" i="102"/>
  <c r="M28" i="102" l="1"/>
  <c r="T28" i="102" s="1"/>
  <c r="G38" i="12"/>
  <c r="M30" i="102"/>
  <c r="T30" i="102" s="1"/>
  <c r="M27" i="102"/>
  <c r="T27" i="102" l="1"/>
  <c r="T35" i="102" s="1"/>
  <c r="B5" i="93" s="1"/>
  <c r="I26" i="5"/>
  <c r="G21" i="30" l="1"/>
  <c r="L8" i="102" l="1"/>
  <c r="F8" i="102"/>
  <c r="G8" i="102" l="1"/>
  <c r="M8" i="102"/>
  <c r="J8" i="102" l="1"/>
  <c r="L40" i="102"/>
  <c r="J40" i="102"/>
  <c r="M40" i="102"/>
  <c r="L35" i="102"/>
  <c r="J35" i="102"/>
  <c r="L22" i="102"/>
  <c r="J22" i="102"/>
  <c r="J43" i="102" s="1"/>
  <c r="L27" i="101"/>
  <c r="J27" i="101"/>
  <c r="M25" i="101"/>
  <c r="T25" i="101" s="1"/>
  <c r="T27" i="101" s="1"/>
  <c r="L9" i="101"/>
  <c r="F9" i="101"/>
  <c r="G6" i="101"/>
  <c r="G17" i="78"/>
  <c r="G20" i="74"/>
  <c r="H11" i="74"/>
  <c r="G28" i="7"/>
  <c r="G17" i="6"/>
  <c r="G17" i="4"/>
  <c r="M27" i="101" l="1"/>
  <c r="I25" i="5" s="1"/>
  <c r="J22" i="101"/>
  <c r="L22" i="101"/>
  <c r="M22" i="102"/>
  <c r="C26" i="5" s="1"/>
  <c r="B26" i="5" s="1"/>
  <c r="M35" i="102"/>
  <c r="M43" i="102" s="1"/>
  <c r="T6" i="101"/>
  <c r="J7" i="101"/>
  <c r="M7" i="101" s="1"/>
  <c r="T7" i="101" l="1"/>
  <c r="H25" i="5"/>
  <c r="T9" i="101"/>
  <c r="T30" i="101" s="1"/>
  <c r="B25" i="5"/>
  <c r="M9" i="101"/>
  <c r="M22" i="101"/>
  <c r="J9" i="101"/>
  <c r="J30" i="101" s="1"/>
  <c r="G9" i="101"/>
  <c r="M30" i="101" l="1"/>
  <c r="B27" i="93" s="1"/>
  <c r="G16" i="22"/>
  <c r="H11" i="22" l="1"/>
  <c r="T66" i="104" l="1"/>
  <c r="H17" i="7" l="1"/>
  <c r="G18" i="21" l="1"/>
  <c r="M100" i="104" l="1"/>
  <c r="L100" i="104"/>
  <c r="J100" i="104"/>
  <c r="T100" i="104"/>
  <c r="T103" i="104" l="1"/>
  <c r="J103" i="104"/>
  <c r="O11" i="74" l="1"/>
  <c r="N11" i="74"/>
  <c r="L11" i="74"/>
  <c r="I11" i="74"/>
  <c r="H13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3" i="30" l="1"/>
  <c r="B14" i="93" s="1"/>
  <c r="J18" i="5" l="1"/>
  <c r="J16" i="5"/>
  <c r="J14" i="5"/>
  <c r="J10" i="5"/>
  <c r="L13" i="30" l="1"/>
  <c r="I13" i="30"/>
  <c r="H15" i="30" l="1"/>
  <c r="J12" i="5"/>
  <c r="J20" i="5"/>
  <c r="H39" i="14" l="1"/>
  <c r="O10" i="44" l="1"/>
  <c r="N10" i="44"/>
  <c r="L10" i="44"/>
  <c r="O13" i="30"/>
  <c r="O9" i="27" l="1"/>
  <c r="N9" i="27"/>
  <c r="L9" i="27"/>
  <c r="I9" i="27"/>
  <c r="H9" i="27"/>
  <c r="O9" i="77"/>
  <c r="N9" i="77"/>
  <c r="L9" i="77"/>
  <c r="O9" i="78"/>
  <c r="N9" i="78"/>
  <c r="L9" i="78"/>
  <c r="I9" i="78"/>
  <c r="H9" i="78"/>
  <c r="H13" i="73"/>
  <c r="O10" i="75"/>
  <c r="N10" i="75"/>
  <c r="L10" i="75"/>
  <c r="I10" i="75"/>
  <c r="H13" i="78" l="1"/>
  <c r="H11" i="73"/>
  <c r="H13" i="27"/>
  <c r="H11" i="78"/>
  <c r="H14" i="75"/>
  <c r="I18" i="5" l="1"/>
  <c r="I9" i="77" l="1"/>
  <c r="H13" i="77" s="1"/>
  <c r="I25" i="18" l="1"/>
  <c r="I10" i="44"/>
  <c r="H14" i="44" s="1"/>
  <c r="H9" i="77" l="1"/>
  <c r="H10" i="44"/>
  <c r="O9" i="76" l="1"/>
  <c r="N9" i="76"/>
  <c r="L9" i="76"/>
  <c r="I9" i="76"/>
  <c r="H9" i="76"/>
  <c r="N25" i="18"/>
  <c r="L25" i="18"/>
  <c r="I16" i="5"/>
  <c r="I14" i="5"/>
  <c r="H11" i="77"/>
  <c r="O11" i="21"/>
  <c r="H15" i="21" s="1"/>
  <c r="I11" i="21"/>
  <c r="H12" i="5" s="1"/>
  <c r="H20" i="5" s="1"/>
  <c r="L11" i="21"/>
  <c r="N11" i="21"/>
  <c r="G14" i="5"/>
  <c r="F10" i="5"/>
  <c r="F14" i="5"/>
  <c r="H9" i="6"/>
  <c r="E10" i="5" s="1"/>
  <c r="I9" i="6"/>
  <c r="L9" i="6"/>
  <c r="E14" i="5" s="1"/>
  <c r="N9" i="6"/>
  <c r="H11" i="4"/>
  <c r="D14" i="5"/>
  <c r="C10" i="5"/>
  <c r="C14" i="5"/>
  <c r="B5" i="5"/>
  <c r="O9" i="6"/>
  <c r="H16" i="5" l="1"/>
  <c r="H14" i="5"/>
  <c r="E18" i="5"/>
  <c r="H32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1" i="27"/>
  <c r="E8" i="5"/>
  <c r="H12" i="44"/>
  <c r="H11" i="76"/>
  <c r="G18" i="5"/>
  <c r="E16" i="5"/>
  <c r="H11" i="6"/>
  <c r="H12" i="75"/>
  <c r="C16" i="5"/>
  <c r="H13" i="21"/>
  <c r="H27" i="18"/>
  <c r="D16" i="5"/>
  <c r="O25" i="18"/>
  <c r="E1" i="14"/>
  <c r="H41" i="14" s="1"/>
  <c r="G10" i="5"/>
  <c r="G8" i="5"/>
  <c r="D8" i="5"/>
  <c r="H29" i="18" l="1"/>
  <c r="H18" i="5"/>
  <c r="H22" i="5" s="1"/>
  <c r="M2" i="14"/>
  <c r="M4" i="14"/>
  <c r="M3" i="14"/>
  <c r="N3" i="14" s="1"/>
  <c r="B16" i="5"/>
  <c r="D20" i="5"/>
  <c r="F22" i="5"/>
  <c r="F29" i="5" s="1"/>
  <c r="E22" i="5"/>
  <c r="E29" i="5" s="1"/>
  <c r="D22" i="5"/>
  <c r="F20" i="5"/>
  <c r="G20" i="5"/>
  <c r="E1" i="6"/>
  <c r="H13" i="6" s="1"/>
  <c r="C18" i="5"/>
  <c r="C22" i="5" s="1"/>
  <c r="E1" i="24"/>
  <c r="E1" i="30"/>
  <c r="H17" i="30" s="1"/>
  <c r="E1" i="7"/>
  <c r="H19" i="7" s="1"/>
  <c r="E1" i="4"/>
  <c r="H13" i="4" s="1"/>
  <c r="N4" i="14" l="1"/>
  <c r="O4" i="14" s="1"/>
  <c r="N2" i="14"/>
  <c r="O2" i="14" s="1"/>
  <c r="O3" i="14"/>
  <c r="B18" i="5"/>
  <c r="C29" i="5"/>
  <c r="D29" i="5"/>
  <c r="G22" i="5" l="1"/>
  <c r="G29" i="5" s="1"/>
  <c r="B14" i="5" l="1"/>
  <c r="H15" i="74"/>
  <c r="I10" i="5" l="1"/>
  <c r="B10" i="5" s="1"/>
  <c r="I106" i="24" l="1"/>
  <c r="H110" i="24" s="1"/>
  <c r="H108" i="24" l="1"/>
  <c r="I12" i="5"/>
  <c r="B12" i="5" l="1"/>
  <c r="I22" i="5"/>
  <c r="I29" i="5" s="1"/>
  <c r="I20" i="5"/>
  <c r="B20" i="5" s="1"/>
  <c r="H34" i="19" l="1"/>
  <c r="E1" i="86" s="1"/>
  <c r="H29" i="5"/>
  <c r="H58" i="86" l="1"/>
  <c r="E1" i="103" s="1"/>
  <c r="H49" i="103" s="1"/>
  <c r="B22" i="5" l="1"/>
  <c r="B29" i="5" s="1"/>
  <c r="F30" i="104"/>
  <c r="M103" i="104" s="1"/>
  <c r="B51" i="93"/>
  <c r="J8" i="5"/>
  <c r="J22" i="5" s="1"/>
  <c r="B52" i="93" l="1"/>
</calcChain>
</file>

<file path=xl/sharedStrings.xml><?xml version="1.0" encoding="utf-8"?>
<sst xmlns="http://schemas.openxmlformats.org/spreadsheetml/2006/main" count="3928" uniqueCount="922">
  <si>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</si>
  <si>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</si>
  <si>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</si>
  <si>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</si>
  <si>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</si>
  <si>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</si>
  <si>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</si>
  <si>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</si>
  <si>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</si>
  <si>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</si>
  <si>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</si>
  <si>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</si>
  <si>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</si>
  <si>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</si>
  <si>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</si>
  <si>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</si>
  <si>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</si>
  <si>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</si>
  <si>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</si>
  <si>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</si>
  <si>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</si>
  <si>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</si>
  <si>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</si>
  <si>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</si>
  <si>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</si>
  <si>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</si>
  <si>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</si>
  <si>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</si>
  <si>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</si>
  <si>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</si>
  <si>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</si>
  <si>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</si>
  <si>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</si>
  <si>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</si>
  <si>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</si>
  <si>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</si>
  <si>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</si>
  <si>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</si>
  <si>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</si>
  <si>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</si>
  <si>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</si>
  <si>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</si>
  <si>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</si>
  <si>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</si>
  <si>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</si>
  <si>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</si>
  <si>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</si>
  <si>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</si>
  <si>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</si>
  <si>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</si>
  <si>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</si>
  <si>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</si>
  <si>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</si>
  <si>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</si>
  <si>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</si>
  <si>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</si>
  <si>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</si>
  <si>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</si>
  <si>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</si>
  <si>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</si>
  <si>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</si>
  <si>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</si>
  <si>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</si>
  <si>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</si>
  <si>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</si>
  <si>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</si>
  <si>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</si>
  <si>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</si>
  <si>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</si>
  <si>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</si>
  <si>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</si>
  <si>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</si>
  <si>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</si>
  <si>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</si>
  <si>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</si>
  <si>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</si>
  <si>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</si>
  <si>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</si>
  <si>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</si>
  <si>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</si>
  <si>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</si>
  <si>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</si>
  <si>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</si>
  <si>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</si>
  <si>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</si>
  <si>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</si>
  <si>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</si>
  <si>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</si>
  <si>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</si>
  <si>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</si>
  <si>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</si>
  <si>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</si>
  <si>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</si>
  <si>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</si>
  <si>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</si>
  <si>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</si>
  <si>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</si>
  <si>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</si>
  <si>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</si>
  <si>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</si>
  <si>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</si>
  <si>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</si>
  <si>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</si>
  <si>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</si>
  <si>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</si>
  <si>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</si>
  <si>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</si>
  <si>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</si>
  <si>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</si>
  <si>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</si>
  <si>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</si>
  <si>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</si>
  <si>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</si>
  <si>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</si>
  <si>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</si>
  <si>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</si>
  <si>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</si>
  <si>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</si>
  <si>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</si>
  <si>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</si>
  <si>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</si>
  <si>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</si>
  <si>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</si>
  <si>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</si>
  <si>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</si>
  <si>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</si>
  <si>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</si>
  <si>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</si>
  <si>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</si>
  <si>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</si>
  <si>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</si>
  <si>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</si>
  <si>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</si>
  <si>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</si>
  <si>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</si>
  <si>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</si>
  <si>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</si>
  <si>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</si>
  <si>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</si>
  <si>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</si>
  <si>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</si>
  <si>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</si>
  <si>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</si>
  <si>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</si>
  <si>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</si>
  <si>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San Antonio Housing Trust FC</t>
  </si>
  <si>
    <t>2015 CF</t>
  </si>
  <si>
    <t>N/A</t>
  </si>
  <si>
    <t>2016 CF</t>
  </si>
  <si>
    <t>Wichita Falls</t>
  </si>
  <si>
    <t>Qualified Mortgage Bonds/MCCs</t>
  </si>
  <si>
    <t>Priority 5</t>
  </si>
  <si>
    <t>TSAHC</t>
  </si>
  <si>
    <t>2017 CF</t>
  </si>
  <si>
    <t>Statewide</t>
  </si>
  <si>
    <t>Las Varas PFC</t>
  </si>
  <si>
    <t>Amount Available for Traditional Carryforward</t>
  </si>
  <si>
    <t>Austin Affordable PFC, Inc.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</si>
  <si>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</si>
  <si>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</si>
  <si>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</si>
  <si>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</si>
  <si>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</si>
  <si>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</si>
  <si>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</si>
  <si>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</si>
  <si>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</si>
  <si>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</si>
  <si>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</si>
  <si>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Anna</t>
  </si>
  <si>
    <t>The Jefferson County HFC</t>
  </si>
  <si>
    <t>Port Arthur</t>
  </si>
  <si>
    <t>Crystal Bend Apts</t>
  </si>
  <si>
    <t>Rowlett</t>
  </si>
  <si>
    <t>2021 TRADITIONAL CARRYFORWARD</t>
  </si>
  <si>
    <t>McKinney HFC</t>
  </si>
  <si>
    <t>McKinney</t>
  </si>
  <si>
    <t>2020 CF</t>
  </si>
  <si>
    <t>PRIORITY</t>
  </si>
  <si>
    <t>MF</t>
  </si>
  <si>
    <t>APP #</t>
  </si>
  <si>
    <t>21CF-002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</si>
  <si>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</si>
  <si>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</si>
  <si>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</si>
  <si>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</si>
  <si>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</si>
  <si>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</si>
  <si>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</si>
  <si>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</si>
  <si>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</si>
  <si>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</si>
  <si>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</si>
  <si>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</si>
  <si>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</si>
  <si>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</si>
  <si>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21CF-007</t>
  </si>
  <si>
    <t>Manor Apartments</t>
  </si>
  <si>
    <t>2021 NON TRADITIONAL CARRYFORWARD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</si>
  <si>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</si>
  <si>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</si>
  <si>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</si>
  <si>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</si>
  <si>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</si>
  <si>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</si>
  <si>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</si>
  <si>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</si>
  <si>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</si>
  <si>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</si>
  <si>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</si>
  <si>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</si>
  <si>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</si>
  <si>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</si>
  <si>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</si>
  <si>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</si>
  <si>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</si>
  <si>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</si>
  <si>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</si>
  <si>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</si>
  <si>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</si>
  <si>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</si>
  <si>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</si>
  <si>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</si>
  <si>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</si>
  <si>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Astoria Park Apts</t>
  </si>
  <si>
    <t>Garland HFC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</si>
  <si>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</si>
  <si>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</si>
  <si>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</si>
  <si>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</si>
  <si>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</si>
  <si>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</si>
  <si>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</si>
  <si>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</si>
  <si>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</si>
  <si>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</si>
  <si>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Brazoria County IDC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</si>
  <si>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</si>
  <si>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</si>
  <si>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</si>
  <si>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</si>
  <si>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</si>
  <si>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</si>
  <si>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</si>
  <si>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</si>
  <si>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</si>
  <si>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</si>
  <si>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Angelina &amp; Neches RA IDC</t>
  </si>
  <si>
    <t>Lufkin</t>
  </si>
  <si>
    <t>Trinity River PFC</t>
  </si>
  <si>
    <t>Ft. Worth</t>
  </si>
  <si>
    <t>Lakeside Place PFC</t>
  </si>
  <si>
    <t>Excluding Amts Reserved</t>
  </si>
  <si>
    <t>2021 CF</t>
  </si>
  <si>
    <t>CARRYFORWARD 2021</t>
  </si>
  <si>
    <t>2022 TRADITIONAL CARRYFORWARD</t>
  </si>
  <si>
    <t>22CF-002</t>
  </si>
  <si>
    <t>2/1D</t>
  </si>
  <si>
    <t>3/1D</t>
  </si>
  <si>
    <t>The Life at Forest View</t>
  </si>
  <si>
    <t>Clute</t>
  </si>
  <si>
    <t>Harris County</t>
  </si>
  <si>
    <t>Single Family Mortgage Revenue Bonds (Series 2022)</t>
  </si>
  <si>
    <t>HFCs - 56.66%</t>
  </si>
  <si>
    <t>Set-Aside Amount</t>
  </si>
  <si>
    <t>Set-Aside until 8/7</t>
  </si>
  <si>
    <t>Fort Bend County</t>
  </si>
  <si>
    <t>SF MRBs</t>
  </si>
  <si>
    <t>North Central Texas</t>
  </si>
  <si>
    <t>QMBs/MCCs</t>
  </si>
  <si>
    <t>MCCs</t>
  </si>
  <si>
    <t>Remaining post-8/7</t>
  </si>
  <si>
    <t>Remaining pre-8/7</t>
  </si>
  <si>
    <t>TDHCA (assigned by Rowlett HFC)</t>
  </si>
  <si>
    <t>TDHCA (assigned by North Central Texas HFC)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</si>
  <si>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</si>
  <si>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</si>
  <si>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</si>
  <si>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</si>
  <si>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</si>
  <si>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</si>
  <si>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</si>
  <si>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</si>
  <si>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</si>
  <si>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</si>
  <si>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</si>
  <si>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</si>
  <si>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</si>
  <si>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</si>
  <si>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</si>
  <si>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Rosemont at Meadow Lane</t>
  </si>
  <si>
    <t>The Mesquite HFC</t>
  </si>
  <si>
    <t>Palladium Bruton Road</t>
  </si>
  <si>
    <t>Estates at Ferguson</t>
  </si>
  <si>
    <t>The Mondello</t>
  </si>
  <si>
    <t>The Southeast Texas HFC</t>
  </si>
  <si>
    <t>The Life at Brighton Estates</t>
  </si>
  <si>
    <t>Harris County HFC</t>
  </si>
  <si>
    <t>Wellington Park</t>
  </si>
  <si>
    <t>The Life at Sterling Woods</t>
  </si>
  <si>
    <t>The Life at Clearwood</t>
  </si>
  <si>
    <t>Northside Village</t>
  </si>
  <si>
    <t>Georgetown</t>
  </si>
  <si>
    <t>Blue Ridge Apartments</t>
  </si>
  <si>
    <t>The Katy</t>
  </si>
  <si>
    <t>Elgin</t>
  </si>
  <si>
    <t>Redwood Apartments</t>
  </si>
  <si>
    <t>3/Non-1D</t>
  </si>
  <si>
    <t>Alamo Area HFC</t>
  </si>
  <si>
    <t>Chisholm Trail</t>
  </si>
  <si>
    <t>Midland County PFC</t>
  </si>
  <si>
    <t>Legacy Senior Residences</t>
  </si>
  <si>
    <t>Midland</t>
  </si>
  <si>
    <t>Taylor</t>
  </si>
  <si>
    <t>Austin Housing PFC</t>
  </si>
  <si>
    <t>Port Arthur ND IDC</t>
  </si>
  <si>
    <t>Austin Affordable PFC, Inc</t>
  </si>
  <si>
    <t>Aleon Renewable Metals, LLC Solid Waste Disposal Facilities</t>
  </si>
  <si>
    <t>Oak Hill Lofts</t>
  </si>
  <si>
    <t>Creek Bend Apartment Homes</t>
  </si>
  <si>
    <t>Oakwood Trails Apartments</t>
  </si>
  <si>
    <t>Spring</t>
  </si>
  <si>
    <t>Willow Creek Manor</t>
  </si>
  <si>
    <t>Housing Options, Inc</t>
  </si>
  <si>
    <t>Palladium San Antonio</t>
  </si>
  <si>
    <t>Whisper Hills Apartments</t>
  </si>
  <si>
    <t>Bissonnet Apartments</t>
  </si>
  <si>
    <t>Jefferson Enterprise Energy, LLC Solid Waste Disposal and Wastewater Treatment Facilities</t>
  </si>
  <si>
    <t>1.7% of the State Ceiling Limit</t>
  </si>
  <si>
    <t>3.4% of the State Ceiling Limit</t>
  </si>
  <si>
    <t>TENTATIVE</t>
  </si>
  <si>
    <t>TAX CREDIT EMAIL NOTIFICATION</t>
  </si>
  <si>
    <t>23CF-002</t>
  </si>
  <si>
    <t>23CF-004</t>
  </si>
  <si>
    <t>23CF-005</t>
  </si>
  <si>
    <t>23CF-006</t>
  </si>
  <si>
    <t>23CF-007</t>
  </si>
  <si>
    <t>Manor</t>
  </si>
  <si>
    <t>Airport Commerce Apts</t>
  </si>
  <si>
    <t>Bluestein Boulevard Apts</t>
  </si>
  <si>
    <t>Aspire/Big Austin</t>
  </si>
  <si>
    <t>Sage at Franklin Park</t>
  </si>
  <si>
    <t>Shelby Trace Apts</t>
  </si>
  <si>
    <t>Seguin</t>
  </si>
  <si>
    <t>Residenital Rental</t>
  </si>
  <si>
    <t>The Life at Timber Ridge</t>
  </si>
  <si>
    <t>Brownsville HFC (PFC formed under Ch 303 LGC)</t>
  </si>
  <si>
    <t>Landing on Orem</t>
  </si>
  <si>
    <t>Mortgage Credit Certificates Series 2023</t>
  </si>
  <si>
    <t>Carmeron County</t>
  </si>
  <si>
    <t>The Remnant at Greenwood Apartments I</t>
  </si>
  <si>
    <t>The Remnant at Greenwood Apartments II</t>
  </si>
  <si>
    <t xml:space="preserve">TSAHC - 10% </t>
  </si>
  <si>
    <t>QMBs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</si>
  <si>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</si>
  <si>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</si>
  <si>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</si>
  <si>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</si>
  <si>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</si>
  <si>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</si>
  <si>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</si>
  <si>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</si>
  <si>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</si>
  <si>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</si>
  <si>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</si>
  <si>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</si>
  <si>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</si>
  <si>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</si>
  <si>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</si>
  <si>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</si>
  <si>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5089; $15,000,000</t>
  </si>
  <si>
    <t>TDHCA (Assigned by Grand Prairie HFC)</t>
  </si>
  <si>
    <t>Chaparral Steel Midlothian, LP Project</t>
  </si>
  <si>
    <t>Midlothian</t>
  </si>
  <si>
    <t>Bexar M&amp;DC</t>
  </si>
  <si>
    <t>Converse</t>
  </si>
  <si>
    <t>Creedmoor Apts</t>
  </si>
  <si>
    <t>Creedmoor</t>
  </si>
  <si>
    <t>5097; $38,800,000</t>
  </si>
  <si>
    <t>TDHCA (Assigned by El Paso HFC)</t>
  </si>
  <si>
    <t>TDHCA (Assigned by Capital Area HFC)</t>
  </si>
  <si>
    <t>Independence Heights II Apts</t>
  </si>
  <si>
    <t>Solid Waste Disposal Facilities</t>
  </si>
  <si>
    <t>TDHCA (Assigned by North Central Texas HFC)</t>
  </si>
  <si>
    <t>TDHCA (Assigned by City of Dallas HFC)</t>
  </si>
  <si>
    <t>Melissa</t>
  </si>
  <si>
    <t>23CF-009</t>
  </si>
  <si>
    <t>Kingswood Apts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</si>
  <si>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</si>
  <si>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</si>
  <si>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</si>
  <si>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</si>
  <si>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</si>
  <si>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</si>
  <si>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Cameron EDC</t>
  </si>
  <si>
    <t>The AIS, Inc. Project</t>
  </si>
  <si>
    <t>Cameron</t>
  </si>
  <si>
    <t>Any amount returned after 11/15/2024 will go towards 2024 Traditional Carryforward Applications</t>
  </si>
  <si>
    <t>Against 2022 &amp; 2023 CF</t>
  </si>
  <si>
    <r>
      <t xml:space="preserve">STATUS OF </t>
    </r>
    <r>
      <rPr>
        <b/>
        <sz val="9"/>
        <rFont val="Times New Roman"/>
        <family val="1"/>
      </rPr>
      <t>2024</t>
    </r>
    <r>
      <rPr>
        <sz val="9"/>
        <rFont val="Times New Roman"/>
        <family val="1"/>
      </rPr>
      <t xml:space="preserve"> ALLOCATION PROGRAM AS OF - </t>
    </r>
  </si>
  <si>
    <t xml:space="preserve">2024 STATE CEILING </t>
  </si>
  <si>
    <t>CURRENT AVAILABLE ALLOCATION 2024</t>
  </si>
  <si>
    <t>CARRYFORWARD 2023</t>
  </si>
  <si>
    <t>24-109</t>
  </si>
  <si>
    <t>24-111</t>
  </si>
  <si>
    <t>24-117</t>
  </si>
  <si>
    <t>Independence Village</t>
  </si>
  <si>
    <t>Silver Village Senior Apartments</t>
  </si>
  <si>
    <t>The Landing at Pinewood Park</t>
  </si>
  <si>
    <t>24-124</t>
  </si>
  <si>
    <t>24-098</t>
  </si>
  <si>
    <t>24-125</t>
  </si>
  <si>
    <t>24-097</t>
  </si>
  <si>
    <t>24-091</t>
  </si>
  <si>
    <t>24-095</t>
  </si>
  <si>
    <t>24-036</t>
  </si>
  <si>
    <t>24-136</t>
  </si>
  <si>
    <t>24-092</t>
  </si>
  <si>
    <t>24-019</t>
  </si>
  <si>
    <t>24-093</t>
  </si>
  <si>
    <t>The Remnant at Greenwood Apartments I (Murray Place)</t>
  </si>
  <si>
    <t>Westmoreland Townhomes</t>
  </si>
  <si>
    <t>The Remnant at Greenwood Apartments II (Throckmorton Street)</t>
  </si>
  <si>
    <t>The Meridian Apartments</t>
  </si>
  <si>
    <t>Tenison Lofts</t>
  </si>
  <si>
    <t>Wooded Lake Apartments</t>
  </si>
  <si>
    <t>The Ridge at Loop 12</t>
  </si>
  <si>
    <t>Huntington Place Senior Living Garland</t>
  </si>
  <si>
    <t>Renaissance Square III Apartments</t>
  </si>
  <si>
    <t>West Virginia Apartments</t>
  </si>
  <si>
    <t>HiLine Illinois</t>
  </si>
  <si>
    <t>Wildwood Branch Apartments</t>
  </si>
  <si>
    <t>Waterford at Goldmark</t>
  </si>
  <si>
    <t>The Harrison County HFC</t>
  </si>
  <si>
    <t>Marshall Lofts</t>
  </si>
  <si>
    <t>Marshall</t>
  </si>
  <si>
    <t>24-010</t>
  </si>
  <si>
    <t>24-049</t>
  </si>
  <si>
    <t>24-034</t>
  </si>
  <si>
    <t>24-038</t>
  </si>
  <si>
    <t>24-021</t>
  </si>
  <si>
    <t>24-023</t>
  </si>
  <si>
    <t>Yale Village Apartments</t>
  </si>
  <si>
    <t>Bay Terrace Apartments</t>
  </si>
  <si>
    <t>Baytown</t>
  </si>
  <si>
    <t>The Legacy at Spring</t>
  </si>
  <si>
    <t>Trinity East Senior Village</t>
  </si>
  <si>
    <t>Meadowbrook Plaza Apartments</t>
  </si>
  <si>
    <t>Village at Baytown</t>
  </si>
  <si>
    <t>Avenue C Apartments</t>
  </si>
  <si>
    <t>Baypointe Apartments</t>
  </si>
  <si>
    <t>Webster</t>
  </si>
  <si>
    <t>Piedmont Apartments</t>
  </si>
  <si>
    <t>Reserve at Holly View</t>
  </si>
  <si>
    <t>The Tidwell</t>
  </si>
  <si>
    <t>Cordova Apartments</t>
  </si>
  <si>
    <t>Kangle Southern Garden</t>
  </si>
  <si>
    <t>Solano Apartments</t>
  </si>
  <si>
    <t>Main Street Apartments</t>
  </si>
  <si>
    <t>Milam Street Apartments</t>
  </si>
  <si>
    <t>24-106</t>
  </si>
  <si>
    <t>24-006</t>
  </si>
  <si>
    <t>24-132</t>
  </si>
  <si>
    <t>24-066</t>
  </si>
  <si>
    <t>24-064</t>
  </si>
  <si>
    <t>24-113</t>
  </si>
  <si>
    <t>24-008</t>
  </si>
  <si>
    <t>24-119</t>
  </si>
  <si>
    <t>24-073</t>
  </si>
  <si>
    <t>24-005</t>
  </si>
  <si>
    <t>24-114</t>
  </si>
  <si>
    <t>24-040</t>
  </si>
  <si>
    <t>24-088</t>
  </si>
  <si>
    <t>24-082</t>
  </si>
  <si>
    <t>24-055</t>
  </si>
  <si>
    <t>24-063</t>
  </si>
  <si>
    <t>24-046</t>
  </si>
  <si>
    <t>24-074</t>
  </si>
  <si>
    <t>Riverview Apartments</t>
  </si>
  <si>
    <t>Travis Park Apartments</t>
  </si>
  <si>
    <t>Liberty Hill Apartments</t>
  </si>
  <si>
    <t>Sunset Ridge Apartments</t>
  </si>
  <si>
    <t>The Springs Apartments</t>
  </si>
  <si>
    <t>Dripping Springs</t>
  </si>
  <si>
    <t>Ra Ra at Liberty Hill</t>
  </si>
  <si>
    <t>Liberty Hill</t>
  </si>
  <si>
    <t>Kyle Family Apartments</t>
  </si>
  <si>
    <t>The Buzz in Kyle Apartments</t>
  </si>
  <si>
    <t>Kyle</t>
  </si>
  <si>
    <t>Maxwell Hwy 21</t>
  </si>
  <si>
    <t>Bluestein Boulevard Apartments</t>
  </si>
  <si>
    <t>Riverstone Apartments</t>
  </si>
  <si>
    <t>5900 S. Pleasant Valley Apartments</t>
  </si>
  <si>
    <t>The Bell County HFC</t>
  </si>
  <si>
    <t>Belle Oaks Apartments</t>
  </si>
  <si>
    <t>Belton</t>
  </si>
  <si>
    <t>San Antonio Housing Trust Finance Corporation</t>
  </si>
  <si>
    <t>The Arbors at West Avenue Apartments</t>
  </si>
  <si>
    <t>Walnut Springs Apartments</t>
  </si>
  <si>
    <t>24-083</t>
  </si>
  <si>
    <t>24-062</t>
  </si>
  <si>
    <t>24-085</t>
  </si>
  <si>
    <t>24-089</t>
  </si>
  <si>
    <t>24-051</t>
  </si>
  <si>
    <t>24-056</t>
  </si>
  <si>
    <t>24-078</t>
  </si>
  <si>
    <t>24-129</t>
  </si>
  <si>
    <t>24-043</t>
  </si>
  <si>
    <t>24-067</t>
  </si>
  <si>
    <t>24-110</t>
  </si>
  <si>
    <t>24-048</t>
  </si>
  <si>
    <t>24-031</t>
  </si>
  <si>
    <t>24-107</t>
  </si>
  <si>
    <t>24-128</t>
  </si>
  <si>
    <t>24-108</t>
  </si>
  <si>
    <t>24-029</t>
  </si>
  <si>
    <t>24-025</t>
  </si>
  <si>
    <t>24-112</t>
  </si>
  <si>
    <t>24-001</t>
  </si>
  <si>
    <t>24-030</t>
  </si>
  <si>
    <t>24-028</t>
  </si>
  <si>
    <t>24-065</t>
  </si>
  <si>
    <t>24-035</t>
  </si>
  <si>
    <t>24-069</t>
  </si>
  <si>
    <t>24-072</t>
  </si>
  <si>
    <t>24-060</t>
  </si>
  <si>
    <t>Huntington Place Senior Living Little Elm</t>
  </si>
  <si>
    <t>Little Elm</t>
  </si>
  <si>
    <t>Union Park Apartments</t>
  </si>
  <si>
    <t>Premier Texarkana D&amp;MFC</t>
  </si>
  <si>
    <t>Grim Hotel Apartments</t>
  </si>
  <si>
    <t>Texarkana</t>
  </si>
  <si>
    <t>UW CMC LLC</t>
  </si>
  <si>
    <t>Ingram Square Apartments</t>
  </si>
  <si>
    <t>Escuela Nueva</t>
  </si>
  <si>
    <t>South Union Place</t>
  </si>
  <si>
    <t>Legacy at Springvale Apartments</t>
  </si>
  <si>
    <t>Oberon Fuels, Inc Project, Series 2024</t>
  </si>
  <si>
    <t>Waelder</t>
  </si>
  <si>
    <t>800 Middle Apartments</t>
  </si>
  <si>
    <t>Union Pines Apartments</t>
  </si>
  <si>
    <t>River Point Apartments</t>
  </si>
  <si>
    <t>San Angelo</t>
  </si>
  <si>
    <t>Royal Crest Apartments</t>
  </si>
  <si>
    <t>North Pond Apartments</t>
  </si>
  <si>
    <t>Barker Oaks Apartments</t>
  </si>
  <si>
    <t>Mustang Ridge Crossing</t>
  </si>
  <si>
    <t>Mustang Ridge</t>
  </si>
  <si>
    <t>Republic Services, Inc. Project Series 2024</t>
  </si>
  <si>
    <t>Multi-site</t>
  </si>
  <si>
    <t>Centerpoint Phase II Apartments</t>
  </si>
  <si>
    <t>Centerpoint Commons Apartments</t>
  </si>
  <si>
    <t>Timber Ridge Apartments</t>
  </si>
  <si>
    <t>Cameron HiLine Apartments</t>
  </si>
  <si>
    <t>Eagle's Landing Family Apartments</t>
  </si>
  <si>
    <t>Brooks Family Apartments</t>
  </si>
  <si>
    <t>Woodland Hills Apartments</t>
  </si>
  <si>
    <t>Village at Collinwood Apartments</t>
  </si>
  <si>
    <t>Fairlake Cove Apartments</t>
  </si>
  <si>
    <t>Huffman</t>
  </si>
  <si>
    <t>Heights at Post Oak Apartments</t>
  </si>
  <si>
    <t>Harbor Lights Crossing</t>
  </si>
  <si>
    <t>Brooks Senior Apartments</t>
  </si>
  <si>
    <t>The Redford Apartments</t>
  </si>
  <si>
    <t>Residences at Pearsell Park</t>
  </si>
  <si>
    <t>Longboat Key Apartments</t>
  </si>
  <si>
    <t>Pleasant Hill Village</t>
  </si>
  <si>
    <t>The Culbreath</t>
  </si>
  <si>
    <t>North Texas HEA</t>
  </si>
  <si>
    <t>Tax-Exempt Student Loan Program Revenue Bonds, Series 2024</t>
  </si>
  <si>
    <t>Northland Woods Apartments</t>
  </si>
  <si>
    <t>Brittons Place</t>
  </si>
  <si>
    <t>Brazos HEA, Inc</t>
  </si>
  <si>
    <t>Heritage Pointe Senior Apartments</t>
  </si>
  <si>
    <t>Copperwood Ranch Apartments</t>
  </si>
  <si>
    <t>Manor Housing PFC</t>
  </si>
  <si>
    <t>Tower Road Apartments</t>
  </si>
  <si>
    <t>Culebra Road Apartments</t>
  </si>
  <si>
    <t>Fields at Somerset Apartments</t>
  </si>
  <si>
    <t>Sinton Development Corporation</t>
  </si>
  <si>
    <t>ECOR Global Solid Waste Disposal and Recycling Facility</t>
  </si>
  <si>
    <t>Sinton</t>
  </si>
  <si>
    <t>EMLI at Honey Creek</t>
  </si>
  <si>
    <t>Anna Family Apartments</t>
  </si>
  <si>
    <t>Gregory Apartments</t>
  </si>
  <si>
    <t>Reserve at Ella Apartments</t>
  </si>
  <si>
    <t>Artisan at Zarzamora Apartments</t>
  </si>
  <si>
    <t>Dumont Place Apartments</t>
  </si>
  <si>
    <t>Melissa Family Apartments</t>
  </si>
  <si>
    <t>Taylor RAD Family Phase II</t>
  </si>
  <si>
    <t>Travis County Facilities Corporation</t>
  </si>
  <si>
    <t>Belmont Apartments</t>
  </si>
  <si>
    <t>Oso Apartments</t>
  </si>
  <si>
    <t>Shady Acres Cottages</t>
  </si>
  <si>
    <t>Maxwell</t>
  </si>
  <si>
    <t>Including Amts Reserved</t>
  </si>
  <si>
    <t>THECB</t>
  </si>
  <si>
    <t>CAL 2024/2025</t>
  </si>
  <si>
    <t>Southeast Texas HFC</t>
  </si>
  <si>
    <t>2024 MCC Program</t>
  </si>
  <si>
    <t>Southeast Texas</t>
  </si>
  <si>
    <t>Taylor RAD Family Phase I</t>
  </si>
  <si>
    <t>23CF-015</t>
  </si>
  <si>
    <t>23CF-016</t>
  </si>
  <si>
    <t>23CF-013</t>
  </si>
  <si>
    <t>South Mesa Hills Apts</t>
  </si>
  <si>
    <t>2023CF (5093)</t>
  </si>
  <si>
    <t>RESERVED</t>
  </si>
  <si>
    <t>Harris County HA PFC</t>
  </si>
  <si>
    <t>Bernicia Place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</si>
  <si>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</si>
  <si>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</si>
  <si>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</si>
  <si>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</si>
  <si>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</si>
  <si>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</si>
  <si>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</si>
  <si>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</si>
  <si>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</si>
  <si>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</si>
  <si>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</si>
  <si>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**Tax Credit Email- 1/3/2024- withdrawn 1/3/2024</t>
  </si>
  <si>
    <t>WITHDRAWN</t>
  </si>
  <si>
    <t>**Tax Credit Email- 1/4/2024- withdrawn 1/4/2024</t>
  </si>
  <si>
    <t>**Tax Credit Email- 1/3/2024- received 1/8/2024</t>
  </si>
  <si>
    <t>**Tax Credit Email- 1/8/2024- withdrawn 1/8/2024</t>
  </si>
  <si>
    <t>**Tax Credit Email- 1/4/2024- received 1/9/2024</t>
  </si>
  <si>
    <t>**Tax Credit Email- 1/5/2024- received 1/10/2024</t>
  </si>
  <si>
    <t>**Tax Credit Email- 1/8/2024- withdrawn 1/10/2024</t>
  </si>
  <si>
    <t>**Tax Credit Email- 1/11/2024- withdrawn 1/11/2024</t>
  </si>
  <si>
    <t>**Tax Credit Email- 1/8/2024- received 1/11/2024</t>
  </si>
  <si>
    <t>**Tax Credit Email- 1/12/2024- received 1/12/2024</t>
  </si>
  <si>
    <t>CLOSED</t>
  </si>
  <si>
    <t>Excludes $4,000,000 of CF from 2022</t>
  </si>
  <si>
    <t>**Tax Credit Email- 1/10/2024- withdrawn 1/16/2024</t>
  </si>
  <si>
    <t>**Tax Credit Email- 1/10/2024- received 1/16/2024</t>
  </si>
  <si>
    <t>**Tax Credit Email- 1/11/2024- withdrawn 1/17/2024</t>
  </si>
  <si>
    <t>**Tax Credit Email- 1/11/2024- received 1/17/2024</t>
  </si>
  <si>
    <t>**Tax Credit Email- 1/12/2024- received 1/17/2024</t>
  </si>
  <si>
    <t>**Tax Credit Email- 1/12/2024- received 1/18/2024</t>
  </si>
  <si>
    <t>2022CF (4903)</t>
  </si>
  <si>
    <t>**Tax Credit Email- 1/17/2024- received 1/22/2024</t>
  </si>
  <si>
    <t>**Tax Credit Email- 1/18/2024- withdrawn 1/19/2024</t>
  </si>
  <si>
    <t>SF MRB Ser 2024A</t>
  </si>
  <si>
    <t>MRB/2024 MCCs</t>
  </si>
  <si>
    <t>MRBs/MCCs</t>
  </si>
  <si>
    <t>2023CF (5064)</t>
  </si>
  <si>
    <t>5128; $4,000,000</t>
  </si>
  <si>
    <t>2022CF (4927) &amp; 2023CF (5071)</t>
  </si>
  <si>
    <t>**Tax Credit Email- 1/18/2024- received 1/23/2024</t>
  </si>
  <si>
    <t>**Tax Credit Email- 1/22/2024- withdrawn 1/23/2024</t>
  </si>
  <si>
    <t>**Tax Credit Email- 1/18/2024- withdrawn 1/23//2024</t>
  </si>
  <si>
    <t>5134; $35,000,000</t>
  </si>
  <si>
    <t>2021CF (4792)</t>
  </si>
  <si>
    <t>**Tax Credit Email- 1/22/2024- received 1/25/2024</t>
  </si>
  <si>
    <t>**Tax Credit Email- 1/22/2024- withdrawn 1/25/2024</t>
  </si>
  <si>
    <t>**Tax Credit Email- 1/23/2024- withdrawn 1/26/2024</t>
  </si>
  <si>
    <t>**Tax Credit Email- 1/26/2024- withdrawn 1/26/2024</t>
  </si>
  <si>
    <t>**Tax Credit Email- 1/23/2024- received 1/26/2024</t>
  </si>
  <si>
    <t>24-146</t>
  </si>
  <si>
    <t>**Tax Credit Email- 1/24/2024- withdrawn  1/24/2024</t>
  </si>
  <si>
    <t>**Tax Credit Email- 1/25/2024- received 1/29/2024</t>
  </si>
  <si>
    <t>**Tax Credit Email- 1/24/2024- received 1/29/2024</t>
  </si>
  <si>
    <t>**Tax Credit Email- 1/25/2024- withdrawn 1/26/2024</t>
  </si>
  <si>
    <t>24-147</t>
  </si>
  <si>
    <t>5140; $4,500,000</t>
  </si>
  <si>
    <t>5144; $34,000,000</t>
  </si>
  <si>
    <t>**Tax Credit Email- 1/25/2024- received 1/30/2024</t>
  </si>
  <si>
    <t>**Tax Credit Email- 1/25/2024- withdrawn 1/30/2024</t>
  </si>
  <si>
    <t>**Tax Credit Email- 1/26/2024- withdrawn 1/31/2024</t>
  </si>
  <si>
    <t>5145; $30,000,000</t>
  </si>
  <si>
    <t>**Tax Credit Email- 1/26/2024- received 1/31/2024</t>
  </si>
  <si>
    <t>2023CF (5083)</t>
  </si>
  <si>
    <t>Excludes $38,800,000 of CF from 2022</t>
  </si>
  <si>
    <t>**Tax Credit Email- 1/31/2024- received 2/1/2024</t>
  </si>
  <si>
    <t>5150; $50,000,000</t>
  </si>
  <si>
    <t>2023CF (5072)</t>
  </si>
  <si>
    <t>Burleson Studios</t>
  </si>
  <si>
    <t>**Tax Credit Email- 1/30/2024- received 2/2/2024</t>
  </si>
  <si>
    <t>**Tax Credit Email- 1/31/2024- received 2/5/2024</t>
  </si>
  <si>
    <t>**Tax Credit Email- 1/31/2024- withdrawn 2/5/2024</t>
  </si>
  <si>
    <t>**Tax Credit Email- 2/1/2024- withdrawn 2/6/2024</t>
  </si>
  <si>
    <t>2023CF (5084)</t>
  </si>
  <si>
    <t>24-149</t>
  </si>
  <si>
    <t>Paradise Gardens</t>
  </si>
  <si>
    <t>2023CF (5074)</t>
  </si>
  <si>
    <t>**Tax Credit Email- 2/5/2024- received 2/8/2024</t>
  </si>
  <si>
    <t>**Tax Credit Email- 2/6/2024- withdrawn 2/9/2024</t>
  </si>
  <si>
    <t>**Tax Credit Email- 2/6/2024- received 2/9/2024</t>
  </si>
  <si>
    <t>CANCELLED</t>
  </si>
  <si>
    <t>5156; $3,990,305.35</t>
  </si>
  <si>
    <t>5156;$2,000,000</t>
  </si>
  <si>
    <t>5156; $8,233,731.25</t>
  </si>
  <si>
    <t>5156; $61,260,326</t>
  </si>
  <si>
    <t>5156; $15,000,000</t>
  </si>
  <si>
    <t>5156; $25,000,000</t>
  </si>
  <si>
    <t>2022CF (4912-4914) &amp; 2023CF (5051-5055)</t>
  </si>
  <si>
    <t>Nortex HFC</t>
  </si>
  <si>
    <t>Sun Valley Apartments</t>
  </si>
  <si>
    <t>Cameron Hiline Apartments</t>
  </si>
  <si>
    <t>24-154</t>
  </si>
  <si>
    <t>The Cameron County HFC</t>
  </si>
  <si>
    <t>Robinhood Terrace Apts</t>
  </si>
  <si>
    <t>24CF-006</t>
  </si>
  <si>
    <t>**Tax Credit Email- 2/21/2024- received 2/26/2024</t>
  </si>
  <si>
    <t>Creek Bend Phase II Apt Homes</t>
  </si>
  <si>
    <t>24-156</t>
  </si>
  <si>
    <t>Roers San Marcos Multifamily</t>
  </si>
  <si>
    <t>24-157</t>
  </si>
  <si>
    <t>Canyon Drive Apartments</t>
  </si>
  <si>
    <t>Coppell</t>
  </si>
  <si>
    <t>24-159</t>
  </si>
  <si>
    <t>Bexar County HFC</t>
  </si>
  <si>
    <t>Grocer Lofts Apartments</t>
  </si>
  <si>
    <t>**Tax Credit Email- 3/1/2024- received 3/5/2024</t>
  </si>
  <si>
    <t>**Tax Credit Email- 3/1/2024- received 3/6/2024</t>
  </si>
  <si>
    <t>**Tax Credit Email- 3/1/2024- received  3/6/2024</t>
  </si>
  <si>
    <t>Commons at Acequia Trails Apartments</t>
  </si>
  <si>
    <t>2023 CF(5078)</t>
  </si>
  <si>
    <t>5164; $3,410,000</t>
  </si>
  <si>
    <t>Closed with 5126 &amp; 5068 Closing allocation certificate.</t>
  </si>
  <si>
    <t>5125; $59,999,371.60 &amp; 5126; $56,214,444</t>
  </si>
  <si>
    <t>Palladium Old FM 471 W</t>
  </si>
  <si>
    <t>Palladium E Lancaster Avenue</t>
  </si>
  <si>
    <t>**Tax Credit Email- 3/20/2024 - received 3/20/24</t>
  </si>
  <si>
    <t>5156; $44,019,532.35</t>
  </si>
  <si>
    <t>Excludes $35,000,000 of CF from 2022</t>
  </si>
  <si>
    <t>**Tax Credit Email- 3/19/2024- received 3/22/2024</t>
  </si>
  <si>
    <t>**Tax Credit Email- 3/27/2024- withdrawn 3/27/2024</t>
  </si>
  <si>
    <t>Cloverdale Renewables 2024 Project</t>
  </si>
  <si>
    <t>Dublin</t>
  </si>
  <si>
    <t>2022CF (4940)</t>
  </si>
  <si>
    <t>**Tax Credit Email- 3/27/2024- received 4/2/2024</t>
  </si>
  <si>
    <t>**Tax Credit Email- 3/27/2024- withdrawn 4/2/2024</t>
  </si>
  <si>
    <t>**Tax Credit Email 4/2/2024- withdrawn 4/2/2024</t>
  </si>
  <si>
    <t>Excludes $15,000,000 of CF from 2022</t>
  </si>
  <si>
    <t>24-165</t>
  </si>
  <si>
    <t>Payton Gin Apartments</t>
  </si>
  <si>
    <t>**Tax Credit Email 4/2/2024- withdrawn 4/5/2024</t>
  </si>
  <si>
    <t>**Tax Credit Email 4/3/2024- withdrawn 4/9/2024</t>
  </si>
  <si>
    <t>24-167</t>
  </si>
  <si>
    <t>24-168</t>
  </si>
  <si>
    <t>Loyola Flats</t>
  </si>
  <si>
    <t>24-169</t>
  </si>
  <si>
    <t>Rundberg Flats</t>
  </si>
  <si>
    <t>**Tax Credit Email 4/12/2024- received 4/17/2024</t>
  </si>
  <si>
    <t>**Tax Credit Email 4/12/2024- withdrawn 4/17/2024</t>
  </si>
  <si>
    <t>**Tax Credit Email- 4/18/2024- received 4/22/2024</t>
  </si>
  <si>
    <t>2023 CF(5094)</t>
  </si>
  <si>
    <t>2023 CF(5095)</t>
  </si>
  <si>
    <t>24-173</t>
  </si>
  <si>
    <t>EMLI at Mesa Gardens</t>
  </si>
  <si>
    <t>**Tax Credit Email- 4/23/2024- received 4/26/2024</t>
  </si>
  <si>
    <t>24-175</t>
  </si>
  <si>
    <t>5171; $36,500,000</t>
  </si>
  <si>
    <t>24-176</t>
  </si>
  <si>
    <t>Pleasanton PFC</t>
  </si>
  <si>
    <t>Pleasanton</t>
  </si>
  <si>
    <t>24-177</t>
  </si>
  <si>
    <t>**Tax Credit Email- 5/3/2024- withdrawn 5/6/2024</t>
  </si>
  <si>
    <t>5180; $5,980,467.65</t>
  </si>
  <si>
    <t>5180; $15,000,000</t>
  </si>
  <si>
    <t>5180; $2,000,000</t>
  </si>
  <si>
    <t>5180; $61,000,000</t>
  </si>
  <si>
    <t>5180; $40,000,000</t>
  </si>
  <si>
    <t>2023CF (5055 &amp; 5059-5063)</t>
  </si>
  <si>
    <t>**Tax Credit Email- 5/3/2024- received 5/8/2024</t>
  </si>
  <si>
    <t>24-179</t>
  </si>
  <si>
    <t>Cedar Bluff Apartments</t>
  </si>
  <si>
    <t>Gulfway Manor</t>
  </si>
  <si>
    <t>Corpus Christi</t>
  </si>
  <si>
    <t>**Tax Credit Email- 6/4/2024- received 6/4/2024</t>
  </si>
  <si>
    <t>**Tax Credit Email- 6/4/2024- withdrawn 6/4/2024</t>
  </si>
  <si>
    <t>**Tax Credit Email- 6/4/2024- received 6/7/2024</t>
  </si>
  <si>
    <t>24-181</t>
  </si>
  <si>
    <t>Recover Howard LLC Project</t>
  </si>
  <si>
    <t>Big Spring</t>
  </si>
  <si>
    <t>**Tax Credit Email- 6/7/2024- received 6/12/2024</t>
  </si>
  <si>
    <t>24-182</t>
  </si>
  <si>
    <t>Riverbreeze Apartments</t>
  </si>
  <si>
    <t>24-183</t>
  </si>
  <si>
    <t>24CF-007</t>
  </si>
  <si>
    <t>Bay Terrace Apts</t>
  </si>
  <si>
    <t>24-184</t>
  </si>
  <si>
    <t>Taylor Farms</t>
  </si>
  <si>
    <t>**Tax Credit Email- 6/13/2024- withdrawn 6/18/2024</t>
  </si>
  <si>
    <t>2023 CF(5076)</t>
  </si>
  <si>
    <t>5175 &amp; 5176; $15,000,000</t>
  </si>
  <si>
    <t>5176 &amp; 5176; $9,000,000</t>
  </si>
  <si>
    <t>24-185</t>
  </si>
  <si>
    <t>Community Waste Disposal 2024 Project</t>
  </si>
  <si>
    <t>5192; $20,000,000</t>
  </si>
  <si>
    <t>Summit at Bennington Apartments</t>
  </si>
  <si>
    <t>2023 CF(5090)</t>
  </si>
  <si>
    <t>**Tax Credit Email- 6/25/2024- received 6/28/2024</t>
  </si>
  <si>
    <t>**Site Conrol Email- 6/28/2024- withdrawn 7/3/2024</t>
  </si>
  <si>
    <t>2023CF (5081)</t>
  </si>
  <si>
    <t>The Cesera</t>
  </si>
  <si>
    <t>5106; $35,000,000</t>
  </si>
  <si>
    <t>5145; $3,370,000</t>
  </si>
  <si>
    <t>5177; $30,130,000</t>
  </si>
  <si>
    <t>2023CF(5075)</t>
  </si>
  <si>
    <t>2023CF (5073 &amp; 5090)</t>
  </si>
  <si>
    <t>5109; $2,000,000</t>
  </si>
  <si>
    <t>2021CF (4798)</t>
  </si>
  <si>
    <t>**Tax Credit Email- 7/9/2024- received 7/12/2024</t>
  </si>
  <si>
    <t>2022 CF(4926)</t>
  </si>
  <si>
    <t>MCC Program 8</t>
  </si>
  <si>
    <t>Walnut Springs</t>
  </si>
  <si>
    <t>24-191</t>
  </si>
  <si>
    <t>Parmer North Apartments</t>
  </si>
  <si>
    <t>24-192</t>
  </si>
  <si>
    <t>The Aere at Easton Park</t>
  </si>
  <si>
    <t>5128; $25,090,000</t>
  </si>
  <si>
    <t>5122; 3,044,000</t>
  </si>
  <si>
    <t>2023CF (5070)</t>
  </si>
  <si>
    <t>5121; $22,499,037.72</t>
  </si>
  <si>
    <t>**Tax Credit Email- 7/17/2024- withdrawn 7/22/2024</t>
  </si>
  <si>
    <t>Bluffs at Nelms</t>
  </si>
  <si>
    <t>**Site Control Email- 7/24/2024- withdrawn 7/24/2024</t>
  </si>
  <si>
    <t>**Tax Credit Email- 7/24/2024- received 7/29/2024</t>
  </si>
  <si>
    <t>**Tax Credit Email- 7/24/2024- withdrawn 7/29/2024</t>
  </si>
  <si>
    <t>24-150</t>
  </si>
  <si>
    <t>**Site Control Email- 7/25/2024- received 7/29/2024</t>
  </si>
  <si>
    <t>5180; $33,402,044.35</t>
  </si>
  <si>
    <t>5140; $24,201,050.4</t>
  </si>
  <si>
    <t>2021CF (21CF-002 &amp; 21CF-007)</t>
  </si>
  <si>
    <t>5137; $35,000,000</t>
  </si>
  <si>
    <t>5201; $12,200,000</t>
  </si>
  <si>
    <t>5143; $22,800,000</t>
  </si>
  <si>
    <t>Cairn Point Montopolis</t>
  </si>
  <si>
    <t>5169; $24,200,223.69</t>
  </si>
  <si>
    <t>5144; $10,999,980.86</t>
  </si>
  <si>
    <t>5149; $24,799,795.45</t>
  </si>
  <si>
    <t>2022CF (4906 &amp; 5083)</t>
  </si>
  <si>
    <t>El Paso HFC</t>
  </si>
  <si>
    <t>Single Family QMB/MCC</t>
  </si>
  <si>
    <t>5146; $15,000,000</t>
  </si>
  <si>
    <t>5146; $30,000,000</t>
  </si>
  <si>
    <t>5146; $3,899,144.32</t>
  </si>
  <si>
    <t>2023CF (5084 &amp; 5085 &amp; 5086)</t>
  </si>
  <si>
    <t>2023CF (5086)</t>
  </si>
  <si>
    <t>Single Family MRBs/MCCs</t>
  </si>
  <si>
    <t>QMBs/MCCs 2024</t>
  </si>
  <si>
    <t>North Central Texas HFC</t>
  </si>
  <si>
    <t>Cameron County</t>
  </si>
  <si>
    <t>Single Family MRBs, Series 2025A</t>
  </si>
  <si>
    <t>Central Texas</t>
  </si>
  <si>
    <t>Single Family MRBs/MCCs, Series 2024</t>
  </si>
  <si>
    <t>QMBs/MCCs Series 2024</t>
  </si>
  <si>
    <t>East Texas HFC</t>
  </si>
  <si>
    <t>East Texas</t>
  </si>
  <si>
    <t>Northeast Texas</t>
  </si>
  <si>
    <t>Northeast Texas HFC</t>
  </si>
  <si>
    <t>**Tax Credit Email- 8/1/2024- received 8/6/2024</t>
  </si>
  <si>
    <t>**Site Control Email- 8/7/2024- received 8/7/2024</t>
  </si>
  <si>
    <t>Louetta Farms</t>
  </si>
  <si>
    <t>24-215</t>
  </si>
  <si>
    <t>24-216</t>
  </si>
  <si>
    <t>24-220</t>
  </si>
  <si>
    <t>24-217</t>
  </si>
  <si>
    <t>Seville Place Apartments</t>
  </si>
  <si>
    <t>La Porte</t>
  </si>
  <si>
    <t>24-218</t>
  </si>
  <si>
    <t>5153; $2,500,962.28</t>
  </si>
  <si>
    <t>5153; $25,788,042.93</t>
  </si>
  <si>
    <t>5191; $19,211,957.07</t>
  </si>
  <si>
    <t>24-221</t>
  </si>
  <si>
    <t>24-222</t>
  </si>
  <si>
    <t>Manchester Apartments</t>
  </si>
  <si>
    <t>Lakeway Apartments</t>
  </si>
  <si>
    <t>24CF-008</t>
  </si>
  <si>
    <t>Manor Apts</t>
  </si>
  <si>
    <t>**Site Control Email- 8/8/2024- withdrawn 8/8/2024</t>
  </si>
  <si>
    <t>5152; $25,601,716.25</t>
  </si>
  <si>
    <t>NA</t>
  </si>
  <si>
    <t>Grocer Lofts</t>
  </si>
  <si>
    <t>24-224</t>
  </si>
  <si>
    <t>24-225</t>
  </si>
  <si>
    <t>Panda High Plains Hemp Gin Holdings, LLC Project 2024</t>
  </si>
  <si>
    <t>Wichita Fallas</t>
  </si>
  <si>
    <t>**Tax Credit Email- 8/12/2024- received 8/14/2024</t>
  </si>
  <si>
    <t>24-226</t>
  </si>
  <si>
    <t>Airport Commerce Multifamily Apartments</t>
  </si>
  <si>
    <t>Morningstar Square</t>
  </si>
  <si>
    <t>The Preserve at Dominion Park</t>
  </si>
  <si>
    <t>**Site Control Email- 8/15/2024- received 8/19/2024</t>
  </si>
  <si>
    <t>**Tax Credit Email- 8/15/2024- received 8/20/2024</t>
  </si>
  <si>
    <t>5249; $18,910,000</t>
  </si>
  <si>
    <t>2023CF (5071)</t>
  </si>
  <si>
    <t>24-230</t>
  </si>
  <si>
    <t>Central Texas Biogas 2024 Project</t>
  </si>
  <si>
    <t>Gustine</t>
  </si>
  <si>
    <t>24CF-009</t>
  </si>
  <si>
    <t>**Tax Credit Email- 9/3/2024- received 9/6/2024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</si>
  <si>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</si>
  <si>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</si>
  <si>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</si>
  <si>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</si>
  <si>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</si>
  <si>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</si>
  <si>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5262; $8,000,000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</si>
  <si>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</si>
  <si>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</si>
  <si>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</si>
  <si>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</si>
  <si>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</si>
  <si>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</si>
  <si>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5264; $35,000,000</t>
  </si>
  <si>
    <t>2022CF (4895)</t>
  </si>
  <si>
    <t>Legacy Farms 2024 Project</t>
  </si>
  <si>
    <t>Plainview</t>
  </si>
  <si>
    <t>Hughes House II</t>
  </si>
  <si>
    <t>5265; $13,500,000</t>
  </si>
  <si>
    <t>5266; $52,000,000</t>
  </si>
  <si>
    <t>2023CF (5079)</t>
  </si>
  <si>
    <t>5155; $2,499,139.43</t>
  </si>
  <si>
    <t>5267; $162,000,000</t>
  </si>
  <si>
    <t>2023CF(5058)</t>
  </si>
  <si>
    <t>Against 2024 CF</t>
  </si>
  <si>
    <t>24CF-015</t>
  </si>
  <si>
    <t>Creek Bend Apt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</si>
</sst>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0_);_(&quot;$&quot;* \(#,##0.00000\);_(&quot;$&quot;* &quot;-&quot;?????_);_(@_)"/>
    <numFmt numFmtId="175" formatCode="_(&quot;$&quot;* #,##0.0000_);_(&quot;$&quot;* \(#,##0.0000\);_(&quot;$&quot;* &quot;-&quot;????_);_(@_)"/>
    <numFmt numFmtId="176" formatCode="_(* #,##0_);_(* \(#,##0\);_(* &quot;-&quot;??_);_(@_)"/>
    <numFmt numFmtId="177" formatCode="_(&quot;$&quot;* #,##0.0000_);_(&quot;$&quot;* \(#,##0.0000\);_(&quot;$&quot;* &quot;-&quot;??_);_(@_)"/>
    <numFmt numFmtId="178" formatCode="0.0000%"/>
    <numFmt numFmtId="179" formatCode="_(&quot;$&quot;* #,##0_);_(&quot;$&quot;* \(#,##0\);_(&quot;$&quot;* &quot;-&quot;?????_);_(@_)"/>
    <numFmt numFmtId="180" formatCode="_(&quot;$&quot;* #,##0.0_);_(&quot;$&quot;* \(#,##0.0\);_(&quot;$&quot;* &quot;-&quot;?_);_(@_)"/>
    <numFmt numFmtId="181" formatCode="0.00000%"/>
    <numFmt numFmtId="182" formatCode="&quot;$&quot;#,##0.0_);[Red]\(&quot;$&quot;#,##0.0\)"/>
    <numFmt numFmtId="183" formatCode="0.000000000000"/>
  </numFmts>
  <fonts count="33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0070C0"/>
      <name val="Times New Roman"/>
      <family val="1"/>
    </font>
    <font>
      <sz val="10"/>
      <color rgb="FF0070C0"/>
      <name val="Times New Roman"/>
      <family val="1"/>
    </font>
    <font>
      <i/>
      <sz val="9"/>
      <color rgb="FFFF0000"/>
      <name val="Times New Roman"/>
      <family val="1"/>
    </font>
    <font>
      <i/>
      <sz val="9"/>
      <color rgb="FFFF0000"/>
      <name val="Geneva"/>
    </font>
    <font>
      <sz val="9"/>
      <color rgb="FFFF0000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7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6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5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6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7" fontId="4" fillId="0" borderId="0" xfId="0" applyNumberFormat="1" applyFont="1" applyAlignment="1">
      <alignment horizontal="center"/>
    </xf>
    <xf numFmtId="176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6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8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8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6" fontId="5" fillId="0" borderId="0" xfId="1" applyNumberFormat="1" applyFont="1" applyBorder="1" applyAlignment="1">
      <alignment horizontal="center"/>
    </xf>
    <xf numFmtId="176" fontId="5" fillId="0" borderId="0" xfId="0" applyNumberFormat="1" applyFont="1"/>
    <xf numFmtId="176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21" fillId="0" borderId="0" xfId="0" applyNumberFormat="1" applyFont="1"/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6" fontId="4" fillId="0" borderId="2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176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164" fontId="21" fillId="0" borderId="0" xfId="8" applyNumberFormat="1" applyFont="1" applyBorder="1" applyAlignment="1">
      <alignment horizontal="center"/>
    </xf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44" fontId="4" fillId="0" borderId="9" xfId="0" applyNumberFormat="1" applyFont="1" applyBorder="1" applyAlignment="1">
      <alignment horizontal="right"/>
    </xf>
    <xf numFmtId="164" fontId="4" fillId="2" borderId="25" xfId="0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right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4" fontId="0" fillId="0" borderId="0" xfId="0" applyNumberFormat="1"/>
    <xf numFmtId="180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0" fontId="2" fillId="0" borderId="0" xfId="0" applyFont="1"/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0" fontId="4" fillId="0" borderId="25" xfId="0" applyFont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5" fontId="4" fillId="0" borderId="25" xfId="0" applyNumberFormat="1" applyFont="1" applyBorder="1" applyAlignment="1">
      <alignment horizontal="left"/>
    </xf>
    <xf numFmtId="164" fontId="4" fillId="0" borderId="25" xfId="8" applyNumberFormat="1" applyFont="1" applyBorder="1" applyAlignment="1">
      <alignment horizontal="right"/>
    </xf>
    <xf numFmtId="14" fontId="4" fillId="0" borderId="25" xfId="0" applyNumberFormat="1" applyFont="1" applyBorder="1" applyAlignment="1">
      <alignment horizontal="right"/>
    </xf>
    <xf numFmtId="42" fontId="4" fillId="0" borderId="25" xfId="19" applyNumberFormat="1" applyFont="1" applyBorder="1" applyAlignment="1">
      <alignment horizontal="right"/>
    </xf>
    <xf numFmtId="14" fontId="0" fillId="0" borderId="25" xfId="0" applyNumberFormat="1" applyBorder="1"/>
    <xf numFmtId="0" fontId="0" fillId="0" borderId="25" xfId="0" applyBorder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180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1" fontId="4" fillId="0" borderId="0" xfId="48" applyNumberFormat="1" applyFont="1"/>
    <xf numFmtId="181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4" fontId="4" fillId="0" borderId="11" xfId="1" applyNumberFormat="1" applyFont="1" applyBorder="1" applyAlignment="1">
      <alignment horizontal="left"/>
    </xf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6" fontId="4" fillId="0" borderId="0" xfId="0" applyNumberFormat="1" applyFont="1"/>
    <xf numFmtId="176" fontId="4" fillId="0" borderId="0" xfId="8" applyNumberFormat="1" applyFont="1"/>
    <xf numFmtId="176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2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171" fontId="4" fillId="0" borderId="0" xfId="48" applyNumberFormat="1" applyFont="1"/>
    <xf numFmtId="183" fontId="4" fillId="0" borderId="0" xfId="0" applyNumberFormat="1" applyFont="1"/>
    <xf numFmtId="44" fontId="5" fillId="0" borderId="12" xfId="0" applyNumberFormat="1" applyFont="1" applyBorder="1"/>
    <xf numFmtId="0" fontId="21" fillId="0" borderId="0" xfId="0" applyFont="1" applyAlignment="1">
      <alignment horizontal="center"/>
    </xf>
    <xf numFmtId="5" fontId="21" fillId="0" borderId="0" xfId="0" applyNumberFormat="1" applyFont="1" applyAlignment="1">
      <alignment horizontal="center"/>
    </xf>
    <xf numFmtId="42" fontId="21" fillId="0" borderId="0" xfId="8" applyNumberFormat="1" applyFont="1" applyBorder="1" applyAlignment="1">
      <alignment horizontal="center"/>
    </xf>
    <xf numFmtId="14" fontId="21" fillId="0" borderId="0" xfId="0" applyNumberFormat="1" applyFont="1" applyAlignment="1">
      <alignment horizontal="center"/>
    </xf>
    <xf numFmtId="165" fontId="5" fillId="0" borderId="0" xfId="8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14" fontId="4" fillId="0" borderId="2" xfId="0" applyNumberFormat="1" applyFont="1" applyBorder="1" applyAlignment="1">
      <alignment horizontal="left"/>
    </xf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left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4" fontId="4" fillId="0" borderId="0" xfId="8" applyNumberFormat="1" applyFont="1" applyFill="1" applyBorder="1" applyAlignment="1">
      <alignment horizontal="right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44" fontId="21" fillId="0" borderId="0" xfId="8" applyNumberFormat="1" applyFont="1" applyAlignment="1">
      <alignment horizontal="center"/>
    </xf>
    <xf numFmtId="44" fontId="4" fillId="2" borderId="0" xfId="1" applyNumberFormat="1" applyFont="1" applyFill="1" applyBorder="1"/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64" fontId="4" fillId="0" borderId="16" xfId="8" applyNumberFormat="1" applyFont="1" applyFill="1" applyBorder="1" applyAlignment="1">
      <alignment horizontal="center"/>
    </xf>
    <xf numFmtId="166" fontId="4" fillId="0" borderId="11" xfId="8" applyNumberFormat="1" applyFont="1" applyFill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0" fontId="4" fillId="0" borderId="0" xfId="48" applyNumberFormat="1" applyFont="1" applyAlignment="1">
      <alignment horizontal="right"/>
    </xf>
    <xf numFmtId="44" fontId="4" fillId="0" borderId="0" xfId="23" applyFont="1" applyFill="1" applyBorder="1" applyAlignment="1">
      <alignment horizontal="center"/>
    </xf>
    <xf numFmtId="44" fontId="4" fillId="0" borderId="11" xfId="8" applyNumberFormat="1" applyFont="1" applyBorder="1" applyAlignment="1">
      <alignment horizontal="right"/>
    </xf>
    <xf numFmtId="164" fontId="4" fillId="0" borderId="11" xfId="0" applyNumberFormat="1" applyFont="1" applyBorder="1"/>
    <xf numFmtId="42" fontId="21" fillId="0" borderId="0" xfId="48" applyNumberFormat="1" applyFont="1" applyBorder="1" applyAlignment="1">
      <alignment horizontal="center"/>
    </xf>
    <xf numFmtId="0" fontId="4" fillId="3" borderId="0" xfId="0" applyFont="1" applyFill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176" fontId="4" fillId="0" borderId="0" xfId="1" applyNumberFormat="1" applyFont="1" applyFill="1"/>
    <xf numFmtId="166" fontId="4" fillId="0" borderId="0" xfId="8" applyNumberFormat="1" applyFont="1" applyFill="1"/>
    <xf numFmtId="179" fontId="4" fillId="0" borderId="0" xfId="0" applyNumberFormat="1" applyFont="1"/>
    <xf numFmtId="14" fontId="4" fillId="0" borderId="11" xfId="0" applyNumberFormat="1" applyFont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4" fontId="0" fillId="0" borderId="0" xfId="0" applyNumberFormat="1"/>
    <xf numFmtId="0" fontId="4" fillId="0" borderId="11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42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44" fontId="4" fillId="0" borderId="11" xfId="8" applyNumberFormat="1" applyFont="1" applyFill="1" applyBorder="1" applyAlignment="1">
      <alignment horizontal="center"/>
    </xf>
    <xf numFmtId="176" fontId="21" fillId="0" borderId="0" xfId="1" applyNumberFormat="1" applyFont="1" applyBorder="1" applyAlignment="1">
      <alignment horizontal="left"/>
    </xf>
    <xf numFmtId="164" fontId="5" fillId="0" borderId="0" xfId="23" applyNumberFormat="1" applyFont="1" applyFill="1" applyBorder="1" applyAlignment="1">
      <alignment horizontal="center"/>
    </xf>
    <xf numFmtId="165" fontId="2" fillId="0" borderId="0" xfId="8" applyFont="1" applyFill="1"/>
    <xf numFmtId="0" fontId="4" fillId="3" borderId="11" xfId="0" applyFont="1" applyFill="1" applyBorder="1" applyAlignment="1">
      <alignment horizontal="left"/>
    </xf>
    <xf numFmtId="44" fontId="26" fillId="0" borderId="2" xfId="0" applyNumberFormat="1" applyFont="1" applyBorder="1" applyAlignment="1">
      <alignment horizontal="center"/>
    </xf>
    <xf numFmtId="2" fontId="4" fillId="0" borderId="0" xfId="0" applyNumberFormat="1" applyFont="1"/>
    <xf numFmtId="14" fontId="4" fillId="4" borderId="0" xfId="0" applyNumberFormat="1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4" fontId="4" fillId="4" borderId="0" xfId="23" applyNumberFormat="1" applyFont="1" applyFill="1" applyBorder="1" applyAlignment="1">
      <alignment horizontal="center"/>
    </xf>
    <xf numFmtId="9" fontId="4" fillId="4" borderId="0" xfId="48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5" fontId="21" fillId="4" borderId="0" xfId="0" applyNumberFormat="1" applyFont="1" applyFill="1" applyAlignment="1">
      <alignment horizontal="center"/>
    </xf>
    <xf numFmtId="42" fontId="21" fillId="4" borderId="0" xfId="8" applyNumberFormat="1" applyFont="1" applyFill="1" applyBorder="1" applyAlignment="1">
      <alignment horizontal="center"/>
    </xf>
    <xf numFmtId="164" fontId="21" fillId="4" borderId="0" xfId="8" applyNumberFormat="1" applyFont="1" applyFill="1" applyBorder="1" applyAlignment="1">
      <alignment horizontal="center"/>
    </xf>
    <xf numFmtId="14" fontId="21" fillId="4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5" fontId="28" fillId="0" borderId="0" xfId="0" applyNumberFormat="1" applyFont="1" applyAlignment="1">
      <alignment horizontal="center"/>
    </xf>
    <xf numFmtId="164" fontId="28" fillId="0" borderId="0" xfId="23" applyNumberFormat="1" applyFont="1" applyFill="1" applyBorder="1" applyAlignment="1">
      <alignment horizontal="center"/>
    </xf>
    <xf numFmtId="9" fontId="28" fillId="0" borderId="0" xfId="48" applyFont="1" applyFill="1" applyBorder="1" applyAlignment="1">
      <alignment horizontal="center"/>
    </xf>
    <xf numFmtId="14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4" fontId="5" fillId="0" borderId="0" xfId="8" applyNumberFormat="1" applyFont="1" applyFill="1" applyBorder="1" applyAlignment="1">
      <alignment horizontal="center"/>
    </xf>
    <xf numFmtId="164" fontId="30" fillId="0" borderId="0" xfId="8" applyNumberFormat="1" applyFont="1" applyFill="1" applyBorder="1" applyAlignment="1">
      <alignment horizontal="center"/>
    </xf>
    <xf numFmtId="164" fontId="30" fillId="0" borderId="0" xfId="0" applyNumberFormat="1" applyFont="1"/>
    <xf numFmtId="14" fontId="30" fillId="0" borderId="0" xfId="0" applyNumberFormat="1" applyFont="1" applyAlignment="1">
      <alignment horizontal="right"/>
    </xf>
    <xf numFmtId="0" fontId="31" fillId="0" borderId="0" xfId="0" applyFont="1"/>
    <xf numFmtId="0" fontId="32" fillId="0" borderId="0" xfId="0" applyFont="1"/>
    <xf numFmtId="44" fontId="21" fillId="0" borderId="0" xfId="8" applyNumberFormat="1" applyFont="1" applyFill="1" applyBorder="1" applyAlignment="1">
      <alignment horizontal="center"/>
    </xf>
    <xf numFmtId="14" fontId="21" fillId="0" borderId="0" xfId="8" applyNumberFormat="1" applyFont="1" applyFill="1" applyBorder="1" applyAlignment="1">
      <alignment horizontal="center"/>
    </xf>
    <xf numFmtId="44" fontId="4" fillId="4" borderId="0" xfId="23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42" fontId="21" fillId="0" borderId="0" xfId="0" applyNumberFormat="1" applyFont="1" applyAlignment="1">
      <alignment horizontal="center"/>
    </xf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44" fontId="4" fillId="0" borderId="14" xfId="8" applyNumberFormat="1" applyFont="1" applyBorder="1" applyAlignment="1">
      <alignment horizontal="center"/>
    </xf>
    <xf numFmtId="173" fontId="4" fillId="0" borderId="0" xfId="8" applyNumberFormat="1" applyFont="1"/>
    <xf numFmtId="173" fontId="4" fillId="0" borderId="0" xfId="0" applyNumberFormat="1" applyFont="1"/>
    <xf numFmtId="164" fontId="4" fillId="0" borderId="11" xfId="8" applyNumberFormat="1" applyFont="1" applyFill="1" applyBorder="1" applyAlignment="1">
      <alignment horizontal="right"/>
    </xf>
    <xf numFmtId="44" fontId="4" fillId="0" borderId="11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/>
    </xf>
    <xf numFmtId="165" fontId="5" fillId="0" borderId="0" xfId="8" applyFont="1" applyFill="1" applyAlignment="1">
      <alignment horizontal="right"/>
    </xf>
    <xf numFmtId="168" fontId="21" fillId="0" borderId="0" xfId="8" applyNumberFormat="1" applyFont="1" applyFill="1" applyBorder="1" applyAlignment="1">
      <alignment horizontal="center"/>
    </xf>
    <xf numFmtId="5" fontId="21" fillId="0" borderId="11" xfId="0" applyNumberFormat="1" applyFont="1" applyBorder="1" applyAlignment="1">
      <alignment horizontal="center"/>
    </xf>
    <xf numFmtId="168" fontId="21" fillId="0" borderId="11" xfId="8" applyNumberFormat="1" applyFont="1" applyFill="1" applyBorder="1" applyAlignment="1">
      <alignment horizontal="center"/>
    </xf>
    <xf numFmtId="164" fontId="21" fillId="0" borderId="11" xfId="8" applyNumberFormat="1" applyFont="1" applyFill="1" applyBorder="1" applyAlignment="1">
      <alignment horizontal="center"/>
    </xf>
    <xf numFmtId="14" fontId="21" fillId="0" borderId="11" xfId="8" applyNumberFormat="1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/>
    </xf>
    <xf numFmtId="42" fontId="21" fillId="0" borderId="11" xfId="8" applyNumberFormat="1" applyFont="1" applyFill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5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right"/>
    </xf>
    <xf numFmtId="0" fontId="27" fillId="0" borderId="0" xfId="0" applyFont="1" applyFill="1"/>
    <xf numFmtId="0" fontId="1" fillId="0" borderId="0" xfId="0" applyFont="1" applyFill="1"/>
    <xf numFmtId="42" fontId="28" fillId="0" borderId="0" xfId="8" applyNumberFormat="1" applyFont="1" applyFill="1" applyBorder="1" applyAlignment="1">
      <alignment horizontal="center"/>
    </xf>
    <xf numFmtId="164" fontId="28" fillId="0" borderId="0" xfId="8" applyNumberFormat="1" applyFont="1" applyFill="1" applyBorder="1" applyAlignment="1">
      <alignment horizontal="center"/>
    </xf>
    <xf numFmtId="14" fontId="28" fillId="0" borderId="0" xfId="8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2" borderId="11" xfId="0" applyFont="1" applyFill="1" applyBorder="1" applyAlignment="1">
      <alignment horizontal="center"/>
    </xf>
    <xf numFmtId="5" fontId="4" fillId="2" borderId="11" xfId="0" applyNumberFormat="1" applyFont="1" applyFill="1" applyBorder="1" applyAlignment="1">
      <alignment horizontal="center"/>
    </xf>
    <xf numFmtId="42" fontId="4" fillId="2" borderId="11" xfId="8" applyNumberFormat="1" applyFont="1" applyFill="1" applyBorder="1" applyAlignment="1">
      <alignment horizontal="center"/>
    </xf>
    <xf numFmtId="164" fontId="4" fillId="2" borderId="11" xfId="8" applyNumberFormat="1" applyFont="1" applyFill="1" applyBorder="1" applyAlignment="1">
      <alignment horizontal="center"/>
    </xf>
    <xf numFmtId="14" fontId="4" fillId="2" borderId="11" xfId="0" applyNumberFormat="1" applyFont="1" applyFill="1" applyBorder="1" applyAlignment="1">
      <alignment horizontal="center"/>
    </xf>
    <xf numFmtId="44" fontId="4" fillId="2" borderId="11" xfId="8" applyNumberFormat="1" applyFont="1" applyFill="1" applyBorder="1" applyAlignment="1">
      <alignment horizontal="center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01"/>
  <sheetViews>
    <sheetView tabSelected="1" zoomScale="110" zoomScaleNormal="110" workbookViewId="0">
      <selection activeCell="C3" sqref="C3"/>
    </sheetView>
  </sheetViews>
  <sheetFormatPr defaultColWidth="9.140625" defaultRowHeight="12"/>
  <cols>
    <col min="1" max="1" width="37.28515625" style="13" customWidth="1"/>
    <col min="2" max="2" width="20" style="34" bestFit="1" customWidth="1"/>
    <col min="3" max="3" width="17.7109375" style="13" bestFit="1" customWidth="1"/>
    <col min="4" max="4" width="16.140625" style="34" bestFit="1" customWidth="1"/>
    <col min="5" max="5" width="15.140625" style="34" bestFit="1" customWidth="1"/>
    <col min="6" max="6" width="17.42578125" style="13" customWidth="1"/>
    <col min="7" max="7" width="16.140625" style="13" bestFit="1" customWidth="1"/>
    <col min="8" max="8" width="16.42578125" style="13" bestFit="1" customWidth="1"/>
    <col min="9" max="9" width="17.7109375" style="13" bestFit="1" customWidth="1"/>
    <col min="10" max="10" width="16.28515625" style="13" customWidth="1"/>
    <col min="11" max="11" width="15.140625" style="13" bestFit="1" customWidth="1"/>
    <col min="12" max="15" width="9.140625" style="13"/>
    <col min="16" max="16" width="16.140625" style="13" customWidth="1"/>
    <col min="17" max="17" width="16.140625" style="13" bestFit="1" customWidth="1"/>
    <col min="18" max="18" width="12.85546875" style="13" bestFit="1" customWidth="1"/>
    <col min="19" max="19" width="13.85546875" style="13" bestFit="1" customWidth="1"/>
    <col min="20" max="16384" width="9.140625" style="13"/>
  </cols>
  <sheetData>
    <row r="1" spans="1:16">
      <c r="A1" s="210"/>
      <c r="B1" s="151"/>
      <c r="C1" s="49"/>
      <c r="F1" s="49"/>
      <c r="H1" s="101"/>
    </row>
    <row r="2" spans="1:16">
      <c r="G2" s="145"/>
      <c r="H2" s="10"/>
    </row>
    <row r="3" spans="1:16" s="1" customFormat="1">
      <c r="A3" s="43" t="s">
        <v>399</v>
      </c>
      <c r="B3" s="13"/>
      <c r="C3" s="7">
        <v>44183</v>
      </c>
      <c r="D3" s="142"/>
      <c r="E3" s="407"/>
      <c r="F3" s="14"/>
      <c r="G3" s="207"/>
      <c r="H3" s="206"/>
      <c r="I3" s="83"/>
    </row>
    <row r="4" spans="1:16" s="1" customFormat="1">
      <c r="A4" s="210"/>
      <c r="B4" s="13"/>
      <c r="C4" s="435"/>
      <c r="D4" s="6"/>
      <c r="E4" s="407"/>
      <c r="F4" s="434"/>
      <c r="G4" s="434"/>
      <c r="H4" s="434"/>
    </row>
    <row r="5" spans="1:16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6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4" t="s">
        <v>195</v>
      </c>
      <c r="O6" s="336" t="s">
        <v>212</v>
      </c>
      <c r="P6" s="337" t="s">
        <v>214</v>
      </c>
    </row>
    <row r="7" spans="1:16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5" t="s">
        <v>192</v>
      </c>
      <c r="O7" s="338" t="s">
        <v>213</v>
      </c>
      <c r="P7" s="339" t="s">
        <v>215</v>
      </c>
    </row>
    <row r="8" spans="1:16" s="1" customFormat="1">
      <c r="A8" s="150" t="s">
        <v>400</v>
      </c>
      <c r="B8" s="309">
        <f>30503301*125</f>
        <v>3812912625</v>
      </c>
      <c r="C8" s="310">
        <f>ROUND(C5*$B$8,0)</f>
        <v>1229664322</v>
      </c>
      <c r="D8" s="310">
        <f t="shared" ref="D8:I8" si="0">ROUND(D5*$B$8,0)</f>
        <v>381291263</v>
      </c>
      <c r="E8" s="310">
        <f t="shared" si="0"/>
        <v>76258253</v>
      </c>
      <c r="F8" s="310">
        <f t="shared" si="0"/>
        <v>100088956</v>
      </c>
      <c r="G8" s="310">
        <f t="shared" si="0"/>
        <v>200177913</v>
      </c>
      <c r="H8" s="310">
        <f>ROUND(H5*$B$8,0)-1</f>
        <v>700622694</v>
      </c>
      <c r="I8" s="311">
        <f t="shared" si="0"/>
        <v>1124809224</v>
      </c>
      <c r="J8" s="326">
        <f>'Aug 15'!E1</f>
        <v>906782722.87</v>
      </c>
      <c r="K8" s="9"/>
      <c r="O8" s="87" t="s">
        <v>199</v>
      </c>
      <c r="P8" s="340">
        <v>2.9717172510821135E-2</v>
      </c>
    </row>
    <row r="9" spans="1:16" s="1" customFormat="1">
      <c r="A9" s="43"/>
      <c r="B9" s="139"/>
      <c r="C9" s="63"/>
      <c r="D9" s="63"/>
      <c r="E9" s="63"/>
      <c r="F9" s="63"/>
      <c r="G9" s="63"/>
      <c r="H9" s="63"/>
      <c r="I9" s="312"/>
      <c r="J9" s="327"/>
      <c r="K9" s="83"/>
      <c r="O9" s="87" t="s">
        <v>200</v>
      </c>
      <c r="P9" s="340">
        <v>1.8840984227241904E-2</v>
      </c>
    </row>
    <row r="10" spans="1:16" s="1" customFormat="1">
      <c r="A10" s="43" t="s">
        <v>67</v>
      </c>
      <c r="B10" s="139">
        <f>SUM(C10:J10)</f>
        <v>8198389608.8699999</v>
      </c>
      <c r="C10" s="63">
        <f>'SC1 MRB'!$J$37</f>
        <v>1669878766</v>
      </c>
      <c r="D10" s="63">
        <f>+'SC2 State Voted'!H9</f>
        <v>175000000</v>
      </c>
      <c r="E10" s="63">
        <f>+'SC3 Small Issue IDBs'!H9</f>
        <v>9115000</v>
      </c>
      <c r="F10" s="63">
        <f>'SC4 TSAHC'!H13</f>
        <v>107700000</v>
      </c>
      <c r="G10" s="63">
        <f>+'SC4 MF- TDHCA'!H15</f>
        <v>201350000</v>
      </c>
      <c r="H10" s="313">
        <f>'REGION 1'!H11+'REGION 2'!H9+'REGION 3'!H28+'REGION 4'!H10+'REGION 5'!H10+'REGION 6'!H25+'REGION 7'!H30+'REGION 8'!H9+'REGION 9'!H11+'REGION 10'!H9+'REGION 11'!H9+'REGION 12'!H9+'REGION 13'!H9+'SC4 MF- Local Collapse'!H54</f>
        <v>1450808965</v>
      </c>
      <c r="I10" s="312">
        <f>'SC5 OTHER'!$H$106</f>
        <v>2725078060</v>
      </c>
      <c r="J10" s="328">
        <f>'Aug 15'!H45</f>
        <v>1859458817.8699999</v>
      </c>
      <c r="K10" s="2"/>
      <c r="O10" s="87" t="s">
        <v>201</v>
      </c>
      <c r="P10" s="340">
        <v>0.27601652467507426</v>
      </c>
    </row>
    <row r="11" spans="1:16" s="1" customFormat="1">
      <c r="B11" s="139"/>
      <c r="C11" s="63"/>
      <c r="D11" s="63"/>
      <c r="E11" s="63"/>
      <c r="F11" s="63"/>
      <c r="G11" s="63"/>
      <c r="H11" s="63"/>
      <c r="I11" s="312"/>
      <c r="J11" s="327"/>
      <c r="K11" s="2"/>
      <c r="O11" s="87" t="s">
        <v>202</v>
      </c>
      <c r="P11" s="340">
        <v>3.9456959143442528E-2</v>
      </c>
    </row>
    <row r="12" spans="1:16" s="1" customFormat="1">
      <c r="A12" s="1" t="s">
        <v>64</v>
      </c>
      <c r="B12" s="139">
        <f>SUM(C12:J12)</f>
        <v>7378706191.8699999</v>
      </c>
      <c r="C12" s="63">
        <f>'SC1 MRB'!$K$37</f>
        <v>1669878766</v>
      </c>
      <c r="D12" s="63">
        <f>+'SC2 State Voted'!I9</f>
        <v>175000000</v>
      </c>
      <c r="E12" s="63">
        <f>+'SC3 Small Issue IDBs'!I9</f>
        <v>9115000</v>
      </c>
      <c r="F12" s="63">
        <f>'SC4 TSAHC'!I13</f>
        <v>107700000</v>
      </c>
      <c r="G12" s="63">
        <f>'SC4 MF- TDHCA'!I15</f>
        <v>201350000</v>
      </c>
      <c r="H12" s="63">
        <f>'REGION 1'!I11+'REGION 2'!I9+'REGION 3'!I28+'REGION 4'!I10+'REGION 5'!I10+'REGION 6'!I25+'REGION 7'!I30+'REGION 8'!I9+'REGION 9'!I11+'REGION 10'!I9+'REGION 11'!I9+'REGION 12'!I9+'REGION 13'!I9+'SC4 MF- Local Collapse'!I54</f>
        <v>1450808965</v>
      </c>
      <c r="I12" s="312">
        <f>'SC5 OTHER'!$I$106</f>
        <v>2725078060</v>
      </c>
      <c r="J12" s="329">
        <f>'Aug 15'!K45</f>
        <v>1039775400.87</v>
      </c>
      <c r="K12" s="2"/>
      <c r="O12" s="87" t="s">
        <v>203</v>
      </c>
      <c r="P12" s="340">
        <v>2.6372334258747618E-2</v>
      </c>
    </row>
    <row r="13" spans="1:16" s="1" customFormat="1">
      <c r="B13" s="139"/>
      <c r="C13" s="63"/>
      <c r="D13" s="63"/>
      <c r="E13" s="63"/>
      <c r="F13" s="63"/>
      <c r="G13" s="63"/>
      <c r="H13" s="63"/>
      <c r="I13" s="312"/>
      <c r="J13" s="327"/>
      <c r="K13" s="9"/>
      <c r="O13" s="87" t="s">
        <v>204</v>
      </c>
      <c r="P13" s="340">
        <v>0.25036526215620558</v>
      </c>
    </row>
    <row r="14" spans="1:16" s="1" customFormat="1">
      <c r="A14" s="1" t="s">
        <v>63</v>
      </c>
      <c r="B14" s="139">
        <f>SUM(C14:J14)</f>
        <v>6773755655.9499998</v>
      </c>
      <c r="C14" s="63">
        <f>'SC1 MRB'!N37</f>
        <v>1667382660.95</v>
      </c>
      <c r="D14" s="63">
        <f>'SC2 State Voted'!L9</f>
        <v>175000000</v>
      </c>
      <c r="E14" s="63">
        <f>'SC3 Small Issue IDBs'!L9</f>
        <v>0</v>
      </c>
      <c r="F14" s="63">
        <f>'SC4 TSAHC'!L13</f>
        <v>107700000</v>
      </c>
      <c r="G14" s="63">
        <f>'SC4 MF- TDHCA'!L15</f>
        <v>201350000</v>
      </c>
      <c r="H14" s="63">
        <f>'REGION 1'!L11+'REGION 2'!L9+'REGION 3'!L28+'REGION 4'!L10+'REGION 5'!L10+'REGION 6'!L25+'REGION 7'!L30+'REGION 8'!L9+'REGION 9'!L11+'REGION 10'!L9+'REGION 11'!L9+'REGION 12'!L9+'REGION 13'!L9+'SC4 MF- Local Collapse'!L54</f>
        <v>1375608965</v>
      </c>
      <c r="I14" s="312">
        <f>'SC5 OTHER'!L106</f>
        <v>2266939030</v>
      </c>
      <c r="J14" s="329">
        <f>'Aug 15'!N45</f>
        <v>979775000</v>
      </c>
      <c r="O14" s="87" t="s">
        <v>205</v>
      </c>
      <c r="P14" s="340">
        <v>8.2586697331200817E-2</v>
      </c>
    </row>
    <row r="15" spans="1:16" s="1" customFormat="1">
      <c r="B15" s="139"/>
      <c r="C15" s="63"/>
      <c r="D15" s="63"/>
      <c r="E15" s="63"/>
      <c r="F15" s="63"/>
      <c r="G15" s="63"/>
      <c r="H15" s="63"/>
      <c r="I15" s="312"/>
      <c r="J15" s="327"/>
      <c r="K15" s="9"/>
      <c r="O15" s="87" t="s">
        <v>206</v>
      </c>
      <c r="P15" s="340">
        <v>4.3034457629058068E-2</v>
      </c>
    </row>
    <row r="16" spans="1:16" s="1" customFormat="1">
      <c r="A16" s="1" t="s">
        <v>65</v>
      </c>
      <c r="B16" s="139">
        <f>SUM(C16:J16)</f>
        <v>1181884590.1300001</v>
      </c>
      <c r="C16" s="63">
        <f>'SC1 MRB'!$P$37</f>
        <v>58840720</v>
      </c>
      <c r="D16" s="63">
        <f>+'SC2 State Voted'!N9</f>
        <v>111958628.8</v>
      </c>
      <c r="E16" s="63">
        <f>+'SC3 Small Issue IDBs'!N9</f>
        <v>0</v>
      </c>
      <c r="F16" s="63">
        <f>'SC4 TSAHC'!N13</f>
        <v>16500000</v>
      </c>
      <c r="G16" s="63">
        <f>+'SC4 MF- TDHCA'!N15</f>
        <v>94511000</v>
      </c>
      <c r="H16" s="63">
        <f>'REGION 1'!N11+'REGION 2'!N9+'REGION 3'!N28+'REGION 4'!N10+'REGION 5'!N10+'REGION 6'!N25+'REGION 7'!N30+'REGION 8'!N9+'REGION 9'!N11+'REGION 10'!N9+'REGION 11'!N9+'REGION 12'!N9+'REGION 13'!N9+'SC4 MF- Local Collapse'!N54</f>
        <v>311052087</v>
      </c>
      <c r="I16" s="312">
        <f>'SC5 OTHER'!N106</f>
        <v>589022154.33000004</v>
      </c>
      <c r="J16" s="329">
        <f>'Aug 15'!P45</f>
        <v>0</v>
      </c>
      <c r="K16" s="2"/>
      <c r="O16" s="87" t="s">
        <v>207</v>
      </c>
      <c r="P16" s="340">
        <v>9.1628571884412369E-2</v>
      </c>
    </row>
    <row r="17" spans="1:16" s="1" customFormat="1">
      <c r="B17" s="139"/>
      <c r="C17" s="63"/>
      <c r="D17" s="63"/>
      <c r="E17" s="63"/>
      <c r="F17" s="63"/>
      <c r="G17" s="63"/>
      <c r="H17" s="63"/>
      <c r="I17" s="312"/>
      <c r="J17" s="327"/>
      <c r="K17" s="83"/>
      <c r="O17" s="87" t="s">
        <v>208</v>
      </c>
      <c r="P17" s="340">
        <v>2.66220468645165E-2</v>
      </c>
    </row>
    <row r="18" spans="1:16" s="1" customFormat="1">
      <c r="A18" s="1" t="s">
        <v>50</v>
      </c>
      <c r="B18" s="139">
        <f>SUM(C18:J18)</f>
        <v>3664301289.7399998</v>
      </c>
      <c r="C18" s="63">
        <f>'SC1 MRB'!$Q$37</f>
        <v>547531764</v>
      </c>
      <c r="D18" s="63">
        <f>+'SC2 State Voted'!O9</f>
        <v>63041371.200000003</v>
      </c>
      <c r="E18" s="63">
        <f>+'SC3 Small Issue IDBs'!O9</f>
        <v>9115000</v>
      </c>
      <c r="F18" s="63">
        <f>'SC4 TSAHC'!O13</f>
        <v>67700000</v>
      </c>
      <c r="G18" s="63">
        <f>+'SC4 MF- TDHCA'!O15</f>
        <v>12339000</v>
      </c>
      <c r="H18" s="63">
        <f>'REGION 1'!O11+'REGION 2'!O9+'REGION 3'!O28+'REGION 4'!O10+'REGION 5'!O10+'REGION 6'!O25+'REGION 7'!O30+'REGION 8'!O9+'REGION 9'!O11+'REGION 10'!O9+'REGION 11'!O9+'REGION 12'!O9+'REGION 13'!O9+'SC4 MF- Local Collapse'!O54</f>
        <v>901837363</v>
      </c>
      <c r="I18" s="312">
        <f>'SC5 OTHER'!O106</f>
        <v>1831236390.6700001</v>
      </c>
      <c r="J18" s="329">
        <f>'Aug 15'!Q45</f>
        <v>231500400.87</v>
      </c>
      <c r="O18" s="87" t="s">
        <v>209</v>
      </c>
      <c r="P18" s="340">
        <v>6.2651787985831778E-2</v>
      </c>
    </row>
    <row r="19" spans="1:16" s="1" customFormat="1">
      <c r="A19" s="43"/>
      <c r="B19" s="139"/>
      <c r="C19" s="63"/>
      <c r="D19" s="63"/>
      <c r="E19" s="63"/>
      <c r="F19" s="63"/>
      <c r="G19" s="63"/>
      <c r="H19" s="63"/>
      <c r="I19" s="312"/>
      <c r="J19" s="327"/>
      <c r="O19" s="87" t="s">
        <v>210</v>
      </c>
      <c r="P19" s="340">
        <v>2.2214677700729494E-2</v>
      </c>
    </row>
    <row r="20" spans="1:16" s="1" customFormat="1">
      <c r="A20" s="43" t="s">
        <v>29</v>
      </c>
      <c r="B20" s="139">
        <f>SUM(C20:J20)</f>
        <v>819683416.99999988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0</v>
      </c>
      <c r="I20" s="312">
        <f>+I10-I12</f>
        <v>0</v>
      </c>
      <c r="J20" s="329">
        <f>'Aug 15'!H47</f>
        <v>819683416.99999988</v>
      </c>
      <c r="O20" s="341" t="s">
        <v>211</v>
      </c>
      <c r="P20" s="342">
        <v>3.0492523632717979E-2</v>
      </c>
    </row>
    <row r="21" spans="1:16" s="1" customFormat="1">
      <c r="A21" s="43"/>
      <c r="B21" s="139"/>
      <c r="C21" s="63"/>
      <c r="D21" s="63"/>
      <c r="E21" s="63"/>
      <c r="F21" s="63"/>
      <c r="G21" s="63"/>
      <c r="H21" s="63"/>
      <c r="I21" s="312"/>
      <c r="J21" s="327"/>
    </row>
    <row r="22" spans="1:16" s="1" customFormat="1">
      <c r="A22" s="48" t="s">
        <v>401</v>
      </c>
      <c r="B22" s="551">
        <f>'Aug 15'!H49</f>
        <v>366417722.87</v>
      </c>
      <c r="C22" s="85">
        <f>+C8-C12+C18+'SC1 MRB'!G50</f>
        <v>107317320</v>
      </c>
      <c r="D22" s="85">
        <f>+D8-D12+D18+'SC2 State Voted'!G17</f>
        <v>269332634.19999999</v>
      </c>
      <c r="E22" s="85">
        <f>+E8-E12+E18+'SC3 Small Issue IDBs'!G17</f>
        <v>76258253</v>
      </c>
      <c r="F22" s="85">
        <f>+F8-F12+F18+'SC4 TSAHC'!G21</f>
        <v>60088956</v>
      </c>
      <c r="G22" s="85">
        <f>+G8-G12+G18+'SC4 MF- TDHCA'!G28</f>
        <v>11166913</v>
      </c>
      <c r="H22" s="85">
        <f>H8-H12+H18+SUM('REGION 1'!G20+'REGION 2'!G16+'REGION 3'!G38+'REGION 4'!G17+'REGION 5'!G16+'REGION 6'!G33+'REGION 7'!G38+'REGION 8'!G17+'REGION 9'!G18+'REGION 10'!G16+'REGION 11'!G16+'REGION 12'!G16+'REGION 13'!G16+'SC4 MF- Local Collapse'!G63)</f>
        <v>151651092</v>
      </c>
      <c r="I22" s="314">
        <f>+I8-I12+I18+'SC5 OTHER'!G116</f>
        <v>230967554.67000008</v>
      </c>
      <c r="J22" s="333">
        <f>J8-J12+J18+'Aug 15'!G58</f>
        <v>366417722.87</v>
      </c>
      <c r="K22" s="9"/>
    </row>
    <row r="23" spans="1:16" s="1" customFormat="1">
      <c r="A23" s="48"/>
      <c r="B23" s="308"/>
      <c r="C23" s="63"/>
      <c r="D23" s="63"/>
      <c r="E23" s="63"/>
      <c r="F23" s="63"/>
      <c r="G23" s="63"/>
      <c r="H23" s="63"/>
      <c r="I23" s="312"/>
    </row>
    <row r="24" spans="1:16" s="1" customFormat="1">
      <c r="A24" s="48"/>
      <c r="B24" s="139"/>
      <c r="C24" s="63"/>
      <c r="D24" s="63"/>
      <c r="E24" s="63"/>
      <c r="F24" s="63"/>
      <c r="G24" s="63"/>
      <c r="H24" s="63"/>
      <c r="I24" s="312"/>
    </row>
    <row r="25" spans="1:16">
      <c r="A25" s="13" t="s">
        <v>254</v>
      </c>
      <c r="B25" s="442">
        <f>SUM(C25:I25)</f>
        <v>7194975.3899999987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'2021 CF'!M19+'2021 CF'!M20+'2021 CF'!M6+'2021 CF'!M7</f>
        <v>5650000</v>
      </c>
      <c r="I25" s="312">
        <f>'2021 CF'!M27+'2021 CF'!M18</f>
        <v>1544975.3899999987</v>
      </c>
    </row>
    <row r="26" spans="1:16">
      <c r="A26" s="13" t="s">
        <v>283</v>
      </c>
      <c r="B26" s="442">
        <f t="shared" ref="B26" si="2">SUM(C26:I26)</f>
        <v>61566161.709999993</v>
      </c>
      <c r="C26" s="63">
        <f>'2022 CF'!M22</f>
        <v>0</v>
      </c>
      <c r="D26" s="63">
        <v>0</v>
      </c>
      <c r="E26" s="63">
        <v>0</v>
      </c>
      <c r="F26" s="63">
        <v>0</v>
      </c>
      <c r="G26" s="63">
        <v>0</v>
      </c>
      <c r="H26" s="63">
        <f>'2022 CF'!M8+'2022 CF'!M29+'2022 CF'!M30+'2022 CF'!M31+'2022 CF'!M32+'2022 CF'!M33</f>
        <v>55000318.549999997</v>
      </c>
      <c r="I26" s="312">
        <f>'2022 CF'!M38+'2022 CF'!M26+'2022 CF'!M27+'2022 CF'!M28</f>
        <v>6565843.1599999964</v>
      </c>
    </row>
    <row r="27" spans="1:16">
      <c r="A27" s="13" t="s">
        <v>402</v>
      </c>
      <c r="B27" s="442">
        <f>SUM(C27:I27)</f>
        <v>984651500.47999978</v>
      </c>
      <c r="C27" s="63">
        <f>'2023 CF'!M47</f>
        <v>465775297.68000001</v>
      </c>
      <c r="D27" s="63">
        <v>0</v>
      </c>
      <c r="E27" s="63">
        <v>0</v>
      </c>
      <c r="F27" s="63">
        <v>0</v>
      </c>
      <c r="G27" s="63">
        <f>'2023 CF'!J6+'2023 CF'!J7</f>
        <v>79000000</v>
      </c>
      <c r="H27" s="63">
        <f>'2023 CF'!M50+'2023 CF'!M51+'2023 CF'!M52+'2023 CF'!M53+'2023 CF'!M54+'2023 CF'!M55+'2023 CF'!M56+'2023 CF'!M57+'2023 CF'!M65+'2023 CF'!M66+'2023 CF'!M70+'2023 CF'!M71+'2023 CF'!M72+'2023 CF'!M73+'2023 CF'!J11+'2023 CF'!J12+'2023 CF'!J14+'2023 CF'!J15</f>
        <v>176000000</v>
      </c>
      <c r="I27" s="312">
        <f>'2023 CF'!M58+'2023 CF'!M59+'2023 CF'!M60+'2023 CF'!M61+'2023 CF'!M62+'2023 CF'!M63+'2023 CF'!M64+'2023 CF'!M67+'2023 CF'!M68+'2023 CF'!M69+ '2023 CF'!M74+'2023 CF'!J13+'2023 CF'!J16+'2023 CF'!G17+'2023 CF'!G18</f>
        <v>263876202.79999971</v>
      </c>
      <c r="K27" s="49"/>
    </row>
    <row r="28" spans="1:16">
      <c r="B28" s="443"/>
      <c r="C28" s="63"/>
      <c r="D28" s="63"/>
      <c r="E28" s="63"/>
      <c r="F28" s="63"/>
      <c r="G28" s="63"/>
      <c r="H28" s="63"/>
      <c r="I28" s="312"/>
      <c r="K28" s="49"/>
    </row>
    <row r="29" spans="1:16" ht="12" customHeight="1">
      <c r="B29" s="444">
        <f>SUM(B22:B28)</f>
        <v>1419830360.4499998</v>
      </c>
      <c r="C29" s="445">
        <f>SUM(C22:C28)</f>
        <v>573092617.68000007</v>
      </c>
      <c r="D29" s="446">
        <f t="shared" ref="D29:I29" si="3">SUM(D22:D28)</f>
        <v>269332634.19999999</v>
      </c>
      <c r="E29" s="446">
        <f t="shared" si="3"/>
        <v>76258253</v>
      </c>
      <c r="F29" s="446">
        <f t="shared" si="3"/>
        <v>60088956</v>
      </c>
      <c r="G29" s="446">
        <f t="shared" si="3"/>
        <v>90166913</v>
      </c>
      <c r="H29" s="446">
        <f>SUM(H22:H28)</f>
        <v>388301410.55000001</v>
      </c>
      <c r="I29" s="447">
        <f t="shared" si="3"/>
        <v>502954576.01999974</v>
      </c>
      <c r="K29" s="49"/>
    </row>
    <row r="30" spans="1:16">
      <c r="B30" s="10"/>
      <c r="C30" s="10"/>
      <c r="D30" s="10"/>
      <c r="E30" s="10"/>
      <c r="F30" s="10"/>
      <c r="H30" s="10"/>
      <c r="I30" s="10"/>
      <c r="K30" s="49"/>
    </row>
    <row r="31" spans="1:16" ht="15.75">
      <c r="A31" s="15"/>
      <c r="B31" s="363"/>
      <c r="C31" s="363"/>
      <c r="D31" s="11"/>
      <c r="E31" s="10"/>
      <c r="F31" s="10"/>
      <c r="G31" s="361"/>
      <c r="H31" s="410"/>
      <c r="I31" s="361"/>
    </row>
    <row r="32" spans="1:16" ht="15.75">
      <c r="B32" s="363"/>
      <c r="C32" s="363"/>
      <c r="D32" s="11"/>
      <c r="E32" s="414"/>
      <c r="F32" s="414"/>
      <c r="G32" s="11"/>
      <c r="H32" s="10"/>
      <c r="I32" s="10"/>
    </row>
    <row r="33" spans="1:16" ht="15.75">
      <c r="B33" s="363"/>
      <c r="C33" s="363"/>
      <c r="D33" s="12"/>
      <c r="E33" s="414"/>
      <c r="F33" s="414"/>
      <c r="G33" s="200"/>
      <c r="H33" s="200"/>
      <c r="I33" s="57"/>
    </row>
    <row r="34" spans="1:16" ht="15.75">
      <c r="A34" s="398" t="s">
        <v>328</v>
      </c>
      <c r="B34" s="399">
        <f>ROUND(0.017*$B$8,0)</f>
        <v>64819515</v>
      </c>
      <c r="C34" s="363"/>
      <c r="D34" s="12"/>
      <c r="E34" s="414"/>
      <c r="F34" s="414"/>
      <c r="G34" s="200"/>
      <c r="H34" s="200"/>
      <c r="I34"/>
    </row>
    <row r="35" spans="1:16" ht="15.75">
      <c r="A35" s="398" t="s">
        <v>329</v>
      </c>
      <c r="B35" s="399">
        <f>ROUND(0.034*$B$8,0)</f>
        <v>129639029</v>
      </c>
      <c r="C35" s="363"/>
      <c r="D35" s="200"/>
      <c r="E35" s="200"/>
      <c r="F35" s="200"/>
      <c r="G35" s="200"/>
      <c r="H35" s="200"/>
      <c r="I35"/>
    </row>
    <row r="36" spans="1:16" ht="15.75">
      <c r="B36" s="363"/>
      <c r="C36" s="363"/>
      <c r="D36" s="13"/>
      <c r="E36" s="200"/>
      <c r="F36" s="200"/>
      <c r="G36"/>
      <c r="H36" s="200"/>
      <c r="I36"/>
    </row>
    <row r="37" spans="1:16" ht="15.75">
      <c r="B37" s="363"/>
      <c r="C37" s="387"/>
      <c r="D37" s="386"/>
      <c r="E37" s="53"/>
      <c r="F37" s="200"/>
      <c r="G37"/>
      <c r="H37" s="200"/>
      <c r="I37"/>
      <c r="J37" s="386"/>
      <c r="K37" s="386"/>
      <c r="L37" s="386"/>
      <c r="M37" s="386"/>
      <c r="N37" s="386"/>
      <c r="O37" s="386"/>
      <c r="P37" s="386"/>
    </row>
    <row r="38" spans="1:16" ht="15.75">
      <c r="B38" s="363"/>
      <c r="C38" s="363"/>
      <c r="D38" s="13"/>
      <c r="E38" s="13"/>
      <c r="F38" s="11"/>
      <c r="G38"/>
    </row>
    <row r="39" spans="1:16">
      <c r="B39" s="49"/>
      <c r="C39" s="95"/>
      <c r="D39" s="13"/>
      <c r="E39" s="13"/>
      <c r="F39" s="414"/>
      <c r="H39" s="10"/>
    </row>
    <row r="40" spans="1:16">
      <c r="B40" s="80"/>
      <c r="D40" s="98"/>
      <c r="E40" s="13"/>
      <c r="F40" s="12"/>
    </row>
    <row r="41" spans="1:16">
      <c r="B41" s="190"/>
      <c r="D41" s="78"/>
      <c r="E41" s="13"/>
      <c r="F41" s="12"/>
      <c r="H41" s="95"/>
    </row>
    <row r="42" spans="1:16" ht="12.75">
      <c r="B42" s="13"/>
      <c r="C42" s="99"/>
      <c r="D42" s="78"/>
      <c r="E42" s="13"/>
    </row>
    <row r="43" spans="1:16" ht="12.75">
      <c r="C43" s="100"/>
      <c r="D43" s="78"/>
      <c r="E43" s="13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9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7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5" sqref="H15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2.42578125" style="13" bestFit="1" customWidth="1"/>
    <col min="6" max="6" width="37.7109375" style="13" bestFit="1" customWidth="1"/>
    <col min="7" max="7" width="11.28515625" style="13" bestFit="1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ROUND(Totals!$H$8*Totals!$P$8, 0)+1</f>
        <v>20820526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75" customFormat="1">
      <c r="A7" s="475">
        <v>19</v>
      </c>
      <c r="B7" s="475">
        <v>23</v>
      </c>
      <c r="C7" s="475" t="s">
        <v>403</v>
      </c>
      <c r="D7" s="475" t="s">
        <v>43</v>
      </c>
      <c r="E7" s="475" t="s">
        <v>222</v>
      </c>
      <c r="F7" s="476" t="s">
        <v>406</v>
      </c>
      <c r="G7" s="476" t="s">
        <v>223</v>
      </c>
      <c r="H7" s="477"/>
      <c r="I7" s="477"/>
      <c r="J7" s="478"/>
      <c r="K7" s="478"/>
      <c r="L7" s="479"/>
      <c r="M7" s="478"/>
      <c r="N7" s="479"/>
      <c r="O7" s="480"/>
      <c r="P7" s="478"/>
      <c r="Q7" s="475" t="s">
        <v>219</v>
      </c>
    </row>
    <row r="8" spans="1:22" s="475" customFormat="1">
      <c r="A8" s="475">
        <v>26</v>
      </c>
      <c r="B8" s="475">
        <v>32</v>
      </c>
      <c r="C8" s="475" t="s">
        <v>404</v>
      </c>
      <c r="D8" s="475" t="s">
        <v>43</v>
      </c>
      <c r="E8" s="475" t="s">
        <v>288</v>
      </c>
      <c r="F8" s="476" t="s">
        <v>407</v>
      </c>
      <c r="G8" s="476" t="s">
        <v>221</v>
      </c>
      <c r="H8" s="477"/>
      <c r="I8" s="477"/>
      <c r="J8" s="478"/>
      <c r="K8" s="478"/>
      <c r="L8" s="479"/>
      <c r="M8" s="478"/>
      <c r="N8" s="479"/>
      <c r="O8" s="480"/>
      <c r="P8" s="478"/>
      <c r="Q8" s="475" t="s">
        <v>219</v>
      </c>
    </row>
    <row r="9" spans="1:22" s="475" customFormat="1">
      <c r="A9" s="475">
        <v>134</v>
      </c>
      <c r="B9" s="475">
        <v>37</v>
      </c>
      <c r="C9" s="475" t="s">
        <v>405</v>
      </c>
      <c r="D9" s="475" t="s">
        <v>43</v>
      </c>
      <c r="E9" s="475" t="s">
        <v>288</v>
      </c>
      <c r="F9" s="476" t="s">
        <v>408</v>
      </c>
      <c r="G9" s="476" t="s">
        <v>221</v>
      </c>
      <c r="H9" s="477"/>
      <c r="I9" s="477"/>
      <c r="J9" s="478"/>
      <c r="K9" s="478"/>
      <c r="L9" s="479"/>
      <c r="M9" s="478"/>
      <c r="N9" s="479"/>
      <c r="O9" s="480"/>
      <c r="P9" s="478"/>
      <c r="Q9" s="475" t="s">
        <v>258</v>
      </c>
    </row>
    <row r="10" spans="1:22">
      <c r="F10" s="36"/>
      <c r="G10" s="36"/>
      <c r="H10" s="289"/>
      <c r="I10" s="289"/>
      <c r="J10" s="11"/>
      <c r="K10" s="11"/>
      <c r="L10" s="353"/>
      <c r="N10" s="353"/>
      <c r="O10" s="315"/>
      <c r="P10" s="11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0</v>
      </c>
      <c r="I11" s="263">
        <f>SUM(I7:I10)</f>
        <v>0</v>
      </c>
      <c r="J11" s="10"/>
      <c r="K11" s="10"/>
      <c r="L11" s="263">
        <f>SUM(L7:L10)</f>
        <v>0</v>
      </c>
      <c r="M11" s="10"/>
      <c r="N11" s="263">
        <f>SUM(N7:N10)</f>
        <v>0</v>
      </c>
      <c r="O11" s="263">
        <f>SUM(O7:O10)</f>
        <v>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9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N14" s="76"/>
      <c r="Q14" s="13"/>
    </row>
    <row r="15" spans="1:22" s="1" customFormat="1">
      <c r="A15" s="5"/>
      <c r="B15" s="5"/>
      <c r="C15" s="5"/>
      <c r="E15" s="133"/>
      <c r="F15" s="58" t="s">
        <v>10</v>
      </c>
      <c r="G15" s="5"/>
      <c r="H15" s="77">
        <f>E1-I11+O11+G20</f>
        <v>20820526</v>
      </c>
      <c r="I15" s="293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3"/>
      <c r="J16" s="138"/>
      <c r="L16" s="9"/>
      <c r="M16" s="138"/>
      <c r="Q16" s="13"/>
    </row>
    <row r="17" spans="1:17" s="1" customFormat="1">
      <c r="A17" s="5"/>
      <c r="B17" s="5"/>
      <c r="C17" s="5"/>
      <c r="E17" s="133"/>
      <c r="F17" s="58"/>
      <c r="G17" s="5"/>
      <c r="H17" s="124"/>
      <c r="I17" s="293"/>
      <c r="J17" s="138"/>
      <c r="L17" s="9"/>
      <c r="M17" s="138"/>
      <c r="Q17" s="13"/>
    </row>
    <row r="18" spans="1:17">
      <c r="D18" s="43"/>
    </row>
    <row r="19" spans="1:17">
      <c r="E19" s="58"/>
      <c r="F19" s="58"/>
      <c r="G19" s="298"/>
      <c r="H19" s="35"/>
    </row>
    <row r="20" spans="1:17">
      <c r="A20" s="43"/>
      <c r="B20" s="43"/>
      <c r="C20" s="43"/>
      <c r="D20" s="43"/>
      <c r="G20" s="296">
        <f>SUM(G17:G19)</f>
        <v>0</v>
      </c>
    </row>
    <row r="21" spans="1:17">
      <c r="E21" s="43"/>
      <c r="F21" s="43"/>
      <c r="G21" s="43"/>
      <c r="H21" s="43"/>
      <c r="I21" s="51"/>
    </row>
    <row r="22" spans="1:17">
      <c r="A22" s="94"/>
      <c r="B22" s="94"/>
      <c r="C22" s="94"/>
      <c r="D22" s="94"/>
    </row>
    <row r="23" spans="1:17">
      <c r="E23" s="94"/>
      <c r="F23" s="94"/>
      <c r="G23" s="94"/>
      <c r="H23" s="94"/>
      <c r="I23" s="118"/>
    </row>
    <row r="24" spans="1:17">
      <c r="A24" s="93"/>
      <c r="B24" s="93"/>
      <c r="C24" s="93"/>
      <c r="D24" s="93"/>
    </row>
    <row r="25" spans="1:17">
      <c r="E25" s="93"/>
      <c r="F25" s="132"/>
      <c r="G25" s="93"/>
      <c r="H25" s="93"/>
    </row>
    <row r="26" spans="1:17">
      <c r="A26" s="93"/>
      <c r="B26" s="93"/>
      <c r="C26" s="93"/>
      <c r="D26" s="93"/>
    </row>
    <row r="27" spans="1:17">
      <c r="E27" s="93"/>
      <c r="F27" s="93"/>
      <c r="G27" s="93"/>
      <c r="H27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1.5703125" style="13" customWidth="1"/>
    <col min="6" max="6" width="52.42578125" style="13" bestFit="1" customWidth="1"/>
    <col min="7" max="7" width="12" style="13" customWidth="1"/>
    <col min="8" max="8" width="13.85546875" style="12" bestFit="1" customWidth="1"/>
    <col min="9" max="9" width="12.710937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ROUND(Totals!$H$8*Totals!$P$9, 0)</f>
        <v>13200421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 t="s">
        <v>147</v>
      </c>
      <c r="B7" s="481" t="s">
        <v>147</v>
      </c>
      <c r="C7" s="481">
        <v>5157</v>
      </c>
      <c r="D7" s="481" t="s">
        <v>622</v>
      </c>
      <c r="E7" s="481" t="s">
        <v>697</v>
      </c>
      <c r="F7" s="482" t="s">
        <v>698</v>
      </c>
      <c r="G7" s="482" t="s">
        <v>149</v>
      </c>
      <c r="H7" s="511">
        <v>13200420</v>
      </c>
      <c r="I7" s="405">
        <f>H7</f>
        <v>13200420</v>
      </c>
      <c r="J7" s="485">
        <v>43880</v>
      </c>
      <c r="K7" s="485">
        <f>J7+35</f>
        <v>43915</v>
      </c>
      <c r="L7" s="405">
        <f>I7</f>
        <v>13200420</v>
      </c>
      <c r="M7" s="485">
        <f>J7+180</f>
        <v>44060</v>
      </c>
      <c r="N7" s="405">
        <v>0</v>
      </c>
      <c r="O7" s="405">
        <f>L7-N7</f>
        <v>13200420</v>
      </c>
      <c r="P7" s="485">
        <v>44049</v>
      </c>
      <c r="Q7" s="481" t="s">
        <v>307</v>
      </c>
      <c r="R7" s="485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13200420</v>
      </c>
      <c r="I9" s="263">
        <f>SUM(I7:I8)</f>
        <v>13200420</v>
      </c>
      <c r="J9" s="10"/>
      <c r="K9" s="10"/>
      <c r="L9" s="263">
        <f>SUM(L7:L8)</f>
        <v>13200420</v>
      </c>
      <c r="M9" s="10"/>
      <c r="N9" s="263">
        <f t="shared" ref="N9:O9" si="0">SUM(N7:N8)</f>
        <v>0</v>
      </c>
      <c r="O9" s="263">
        <f t="shared" si="0"/>
        <v>13200420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13200421</v>
      </c>
      <c r="I13" s="293"/>
      <c r="J13" s="138"/>
      <c r="L13" s="9"/>
      <c r="M13" s="138"/>
      <c r="Q13" s="13"/>
    </row>
    <row r="14" spans="1:22">
      <c r="D14" s="43"/>
      <c r="L14" s="422"/>
    </row>
    <row r="15" spans="1:22">
      <c r="E15" s="58"/>
      <c r="F15" s="58"/>
      <c r="G15" s="298"/>
      <c r="H15" s="35"/>
    </row>
    <row r="16" spans="1:22">
      <c r="A16" s="43"/>
      <c r="B16" s="43"/>
      <c r="C16" s="43"/>
      <c r="D16" s="43"/>
      <c r="G16" s="297"/>
    </row>
    <row r="17" spans="1:10">
      <c r="E17" s="43"/>
      <c r="F17" s="43"/>
      <c r="G17" s="43"/>
      <c r="H17" s="43"/>
      <c r="I17" s="51"/>
    </row>
    <row r="18" spans="1:10">
      <c r="A18" s="94"/>
      <c r="B18" s="94"/>
      <c r="C18" s="94"/>
      <c r="D18" s="94"/>
    </row>
    <row r="19" spans="1:10">
      <c r="E19" s="94"/>
      <c r="F19" s="94"/>
      <c r="G19" s="94"/>
      <c r="H19" s="94"/>
      <c r="I19" s="118"/>
    </row>
    <row r="20" spans="1:10">
      <c r="A20" s="93"/>
      <c r="B20" s="93"/>
      <c r="C20" s="93"/>
      <c r="D20" s="93"/>
    </row>
    <row r="21" spans="1:10">
      <c r="E21" s="93"/>
      <c r="F21" s="132"/>
      <c r="G21" s="93"/>
      <c r="H21" s="93"/>
    </row>
    <row r="22" spans="1:10">
      <c r="A22" s="93"/>
      <c r="B22" s="93"/>
      <c r="C22" s="93"/>
      <c r="D22" s="93"/>
    </row>
    <row r="23" spans="1:10">
      <c r="E23" s="93"/>
      <c r="F23" s="93"/>
      <c r="G23" s="93"/>
      <c r="H23" s="93"/>
    </row>
    <row r="25" spans="1:10">
      <c r="J25" s="11"/>
    </row>
    <row r="26" spans="1:10">
      <c r="J26" s="11"/>
    </row>
    <row r="27" spans="1:10">
      <c r="J27" s="11"/>
    </row>
    <row r="28" spans="1:10">
      <c r="J28" s="11"/>
    </row>
    <row r="29" spans="1:10">
      <c r="J29" s="11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5546875" defaultRowHeight="12"/>
  <cols>
    <col min="1" max="1" width="8" style="13" customWidth="1"/>
    <col min="2" max="2" width="6.140625" style="13" customWidth="1"/>
    <col min="3" max="3" width="9.28515625" style="13" bestFit="1" customWidth="1"/>
    <col min="4" max="4" width="13.28515625" style="13" customWidth="1"/>
    <col min="5" max="5" width="22.7109375" style="13" customWidth="1"/>
    <col min="6" max="6" width="51.28515625" style="13" customWidth="1"/>
    <col min="7" max="7" width="13" style="13" bestFit="1" customWidth="1"/>
    <col min="8" max="8" width="13.85546875" style="12" bestFit="1" customWidth="1"/>
    <col min="9" max="9" width="14.28515625" style="41" bestFit="1" customWidth="1"/>
    <col min="10" max="10" width="15.28515625" style="13" bestFit="1" customWidth="1"/>
    <col min="11" max="11" width="10.85546875" style="13" bestFit="1" customWidth="1"/>
    <col min="12" max="12" width="12.5703125" style="60" bestFit="1" customWidth="1"/>
    <col min="13" max="13" width="10.85546875" style="11" bestFit="1" customWidth="1"/>
    <col min="14" max="14" width="15.28515625" style="57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7" style="13" bestFit="1" customWidth="1"/>
    <col min="19" max="19" width="16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ROUND(Totals!$H$8*Totals!$P$10, 0)</f>
        <v>193383441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23</v>
      </c>
      <c r="B7" s="13">
        <v>28</v>
      </c>
      <c r="C7" s="13" t="s">
        <v>409</v>
      </c>
      <c r="D7" s="13" t="s">
        <v>622</v>
      </c>
      <c r="E7" s="13" t="s">
        <v>175</v>
      </c>
      <c r="F7" s="36" t="s">
        <v>420</v>
      </c>
      <c r="G7" s="36" t="s">
        <v>176</v>
      </c>
      <c r="H7" s="449">
        <v>0</v>
      </c>
      <c r="I7" s="289"/>
      <c r="J7" s="11"/>
      <c r="K7" s="11"/>
      <c r="L7" s="289"/>
      <c r="N7" s="289"/>
      <c r="O7" s="289"/>
      <c r="P7" s="11"/>
      <c r="Q7" s="13" t="s">
        <v>219</v>
      </c>
      <c r="R7" s="93" t="s">
        <v>624</v>
      </c>
    </row>
    <row r="8" spans="1:22">
      <c r="A8" s="13">
        <v>28</v>
      </c>
      <c r="B8" s="13">
        <v>36</v>
      </c>
      <c r="C8" s="13" t="s">
        <v>410</v>
      </c>
      <c r="D8" s="13" t="s">
        <v>622</v>
      </c>
      <c r="E8" s="13" t="s">
        <v>289</v>
      </c>
      <c r="F8" s="36" t="s">
        <v>421</v>
      </c>
      <c r="G8" s="36" t="s">
        <v>78</v>
      </c>
      <c r="H8" s="66">
        <v>0</v>
      </c>
      <c r="I8" s="27"/>
      <c r="J8" s="11"/>
      <c r="K8" s="11"/>
      <c r="L8" s="27"/>
      <c r="N8" s="27"/>
      <c r="O8" s="27"/>
      <c r="P8" s="11"/>
      <c r="Q8" s="13" t="s">
        <v>220</v>
      </c>
      <c r="R8" s="93"/>
    </row>
    <row r="9" spans="1:22">
      <c r="A9" s="13">
        <v>29</v>
      </c>
      <c r="B9" s="13">
        <v>41</v>
      </c>
      <c r="C9" s="13" t="s">
        <v>411</v>
      </c>
      <c r="D9" s="13" t="s">
        <v>622</v>
      </c>
      <c r="E9" s="13" t="s">
        <v>175</v>
      </c>
      <c r="F9" s="36" t="s">
        <v>422</v>
      </c>
      <c r="G9" s="36" t="s">
        <v>176</v>
      </c>
      <c r="H9" s="66">
        <v>0</v>
      </c>
      <c r="I9" s="27"/>
      <c r="J9" s="11"/>
      <c r="K9" s="11"/>
      <c r="L9" s="27"/>
      <c r="N9" s="27"/>
      <c r="O9" s="27"/>
      <c r="P9" s="11"/>
      <c r="Q9" s="13" t="s">
        <v>219</v>
      </c>
      <c r="R9" s="93" t="s">
        <v>625</v>
      </c>
    </row>
    <row r="10" spans="1:22">
      <c r="A10" s="13">
        <v>31</v>
      </c>
      <c r="B10" s="13">
        <v>43</v>
      </c>
      <c r="C10" s="13" t="s">
        <v>412</v>
      </c>
      <c r="D10" s="13" t="s">
        <v>622</v>
      </c>
      <c r="E10" s="13" t="s">
        <v>289</v>
      </c>
      <c r="F10" s="36" t="s">
        <v>290</v>
      </c>
      <c r="G10" s="36" t="s">
        <v>78</v>
      </c>
      <c r="H10" s="449">
        <v>0</v>
      </c>
      <c r="I10" s="289"/>
      <c r="J10" s="11"/>
      <c r="K10" s="11"/>
      <c r="L10" s="289"/>
      <c r="N10" s="289"/>
      <c r="O10" s="289"/>
      <c r="P10" s="11"/>
      <c r="Q10" s="13" t="s">
        <v>219</v>
      </c>
      <c r="R10" s="93" t="s">
        <v>634</v>
      </c>
    </row>
    <row r="11" spans="1:22">
      <c r="A11" s="13">
        <v>37</v>
      </c>
      <c r="B11" s="13">
        <v>48</v>
      </c>
      <c r="C11" s="13">
        <v>5121</v>
      </c>
      <c r="D11" s="13" t="s">
        <v>632</v>
      </c>
      <c r="E11" s="13" t="s">
        <v>289</v>
      </c>
      <c r="F11" s="36" t="s">
        <v>294</v>
      </c>
      <c r="G11" s="36" t="s">
        <v>78</v>
      </c>
      <c r="H11" s="449">
        <v>35000000</v>
      </c>
      <c r="I11" s="289">
        <f>H11</f>
        <v>35000000</v>
      </c>
      <c r="J11" s="11">
        <v>43851</v>
      </c>
      <c r="K11" s="11">
        <f>J11+35</f>
        <v>43886</v>
      </c>
      <c r="L11" s="289">
        <v>22500000</v>
      </c>
      <c r="M11" s="11">
        <f>J11+180</f>
        <v>44031</v>
      </c>
      <c r="N11" s="289">
        <v>0</v>
      </c>
      <c r="O11" s="289">
        <f>I11-N11</f>
        <v>35000000</v>
      </c>
      <c r="P11" s="11">
        <v>43875</v>
      </c>
      <c r="Q11" s="13" t="s">
        <v>220</v>
      </c>
      <c r="R11" s="474" t="s">
        <v>638</v>
      </c>
      <c r="S11" s="388" t="s">
        <v>685</v>
      </c>
    </row>
    <row r="12" spans="1:22" s="5" customFormat="1">
      <c r="A12" s="13">
        <v>44</v>
      </c>
      <c r="B12" s="13">
        <v>56</v>
      </c>
      <c r="C12" s="13">
        <v>5127</v>
      </c>
      <c r="D12" s="13" t="s">
        <v>632</v>
      </c>
      <c r="E12" s="13" t="s">
        <v>97</v>
      </c>
      <c r="F12" s="36" t="s">
        <v>423</v>
      </c>
      <c r="G12" s="36" t="s">
        <v>95</v>
      </c>
      <c r="H12" s="449">
        <v>39000000</v>
      </c>
      <c r="I12" s="289">
        <f>H12</f>
        <v>39000000</v>
      </c>
      <c r="J12" s="11">
        <v>43852</v>
      </c>
      <c r="K12" s="11">
        <f>J12+35</f>
        <v>43887</v>
      </c>
      <c r="L12" s="289">
        <v>39000000</v>
      </c>
      <c r="M12" s="11">
        <f>J12+180</f>
        <v>44032</v>
      </c>
      <c r="N12" s="353">
        <v>38999094.469999999</v>
      </c>
      <c r="O12" s="353">
        <f>L12-N12</f>
        <v>905.53000000119209</v>
      </c>
      <c r="P12" s="11">
        <v>44035</v>
      </c>
      <c r="Q12" s="13" t="s">
        <v>287</v>
      </c>
      <c r="R12" s="454" t="s">
        <v>641</v>
      </c>
    </row>
    <row r="13" spans="1:22">
      <c r="A13" s="13">
        <v>57</v>
      </c>
      <c r="B13" s="13">
        <v>66</v>
      </c>
      <c r="C13" s="13" t="s">
        <v>413</v>
      </c>
      <c r="D13" s="13" t="s">
        <v>622</v>
      </c>
      <c r="E13" s="13" t="s">
        <v>289</v>
      </c>
      <c r="F13" s="36" t="s">
        <v>424</v>
      </c>
      <c r="G13" s="36" t="s">
        <v>78</v>
      </c>
      <c r="H13" s="449">
        <v>0</v>
      </c>
      <c r="I13" s="289"/>
      <c r="J13" s="11"/>
      <c r="K13" s="11"/>
      <c r="L13" s="289"/>
      <c r="N13" s="289"/>
      <c r="O13" s="289"/>
      <c r="P13" s="11"/>
      <c r="Q13" s="13" t="s">
        <v>287</v>
      </c>
      <c r="R13" s="93" t="s">
        <v>650</v>
      </c>
    </row>
    <row r="14" spans="1:22">
      <c r="A14" s="13">
        <v>62</v>
      </c>
      <c r="B14" s="13">
        <v>71</v>
      </c>
      <c r="C14" s="13">
        <v>5135</v>
      </c>
      <c r="D14" s="13" t="s">
        <v>632</v>
      </c>
      <c r="E14" s="13" t="s">
        <v>291</v>
      </c>
      <c r="F14" s="36" t="s">
        <v>425</v>
      </c>
      <c r="G14" s="36" t="s">
        <v>227</v>
      </c>
      <c r="H14" s="449">
        <v>45000000</v>
      </c>
      <c r="I14" s="289">
        <f>H14</f>
        <v>45000000</v>
      </c>
      <c r="J14" s="11">
        <v>43855</v>
      </c>
      <c r="K14" s="11">
        <f>J14+35</f>
        <v>43890</v>
      </c>
      <c r="L14" s="289">
        <v>45000000</v>
      </c>
      <c r="M14" s="11">
        <f>J14+180</f>
        <v>44035</v>
      </c>
      <c r="N14" s="289">
        <v>41700000</v>
      </c>
      <c r="O14" s="289">
        <f>L14-N14</f>
        <v>3300000</v>
      </c>
      <c r="P14" s="11">
        <v>44047</v>
      </c>
      <c r="Q14" s="13" t="s">
        <v>287</v>
      </c>
      <c r="R14" s="474" t="s">
        <v>654</v>
      </c>
    </row>
    <row r="15" spans="1:22">
      <c r="A15" s="13">
        <v>68</v>
      </c>
      <c r="B15" s="13">
        <v>76</v>
      </c>
      <c r="C15" s="13" t="s">
        <v>414</v>
      </c>
      <c r="D15" s="13" t="s">
        <v>622</v>
      </c>
      <c r="E15" s="13" t="s">
        <v>289</v>
      </c>
      <c r="F15" s="36" t="s">
        <v>426</v>
      </c>
      <c r="G15" s="36" t="s">
        <v>78</v>
      </c>
      <c r="H15" s="449">
        <v>0</v>
      </c>
      <c r="I15" s="289"/>
      <c r="J15" s="11"/>
      <c r="K15" s="11"/>
      <c r="L15" s="289"/>
      <c r="N15" s="289"/>
      <c r="O15" s="289"/>
      <c r="P15" s="11"/>
      <c r="Q15" s="13" t="s">
        <v>287</v>
      </c>
      <c r="R15" s="93" t="s">
        <v>660</v>
      </c>
    </row>
    <row r="16" spans="1:22">
      <c r="A16" s="13">
        <v>71</v>
      </c>
      <c r="B16" s="13">
        <v>79</v>
      </c>
      <c r="C16" s="13">
        <v>5143</v>
      </c>
      <c r="D16" s="13" t="s">
        <v>632</v>
      </c>
      <c r="E16" s="13" t="s">
        <v>225</v>
      </c>
      <c r="F16" s="36" t="s">
        <v>427</v>
      </c>
      <c r="G16" s="36" t="s">
        <v>226</v>
      </c>
      <c r="H16" s="449">
        <v>30000000</v>
      </c>
      <c r="I16" s="289">
        <f>H16</f>
        <v>30000000</v>
      </c>
      <c r="J16" s="11">
        <v>43859</v>
      </c>
      <c r="K16" s="11">
        <f>J16+35</f>
        <v>43894</v>
      </c>
      <c r="L16" s="289">
        <v>30000000</v>
      </c>
      <c r="M16" s="11">
        <f>J16+180</f>
        <v>44039</v>
      </c>
      <c r="N16" s="289">
        <v>0</v>
      </c>
      <c r="O16" s="289">
        <f>L16-N16</f>
        <v>30000000</v>
      </c>
      <c r="P16" s="11">
        <v>44043</v>
      </c>
      <c r="Q16" s="13" t="s">
        <v>287</v>
      </c>
      <c r="R16" s="474" t="s">
        <v>661</v>
      </c>
      <c r="S16" s="388" t="s">
        <v>806</v>
      </c>
    </row>
    <row r="17" spans="1:22">
      <c r="A17" s="13">
        <v>76</v>
      </c>
      <c r="B17" s="13">
        <v>83</v>
      </c>
      <c r="C17" s="13" t="s">
        <v>415</v>
      </c>
      <c r="D17" s="13" t="s">
        <v>622</v>
      </c>
      <c r="E17" s="13" t="s">
        <v>97</v>
      </c>
      <c r="F17" s="36" t="s">
        <v>428</v>
      </c>
      <c r="G17" s="36" t="s">
        <v>95</v>
      </c>
      <c r="H17" s="449">
        <v>0</v>
      </c>
      <c r="I17" s="289"/>
      <c r="J17" s="11"/>
      <c r="K17" s="11"/>
      <c r="L17" s="289"/>
      <c r="N17" s="289"/>
      <c r="O17" s="289"/>
      <c r="P17" s="11"/>
      <c r="Q17" s="13" t="s">
        <v>287</v>
      </c>
      <c r="R17" s="93" t="s">
        <v>663</v>
      </c>
    </row>
    <row r="18" spans="1:22">
      <c r="A18" s="13">
        <v>78</v>
      </c>
      <c r="B18" s="13">
        <v>85</v>
      </c>
      <c r="C18" s="13">
        <v>5153</v>
      </c>
      <c r="D18" s="13" t="s">
        <v>632</v>
      </c>
      <c r="E18" s="13" t="s">
        <v>289</v>
      </c>
      <c r="F18" s="36" t="s">
        <v>429</v>
      </c>
      <c r="G18" s="36" t="s">
        <v>78</v>
      </c>
      <c r="H18" s="449">
        <v>32000000</v>
      </c>
      <c r="I18" s="289">
        <v>32000000</v>
      </c>
      <c r="J18" s="11">
        <v>43867</v>
      </c>
      <c r="K18" s="11">
        <f>J18+35</f>
        <v>43902</v>
      </c>
      <c r="L18" s="289">
        <v>32000000</v>
      </c>
      <c r="M18" s="11">
        <f>J18+180</f>
        <v>44047</v>
      </c>
      <c r="N18" s="289">
        <v>0</v>
      </c>
      <c r="O18" s="289">
        <f>L18-N18</f>
        <v>32000000</v>
      </c>
      <c r="P18" s="11">
        <v>44050</v>
      </c>
      <c r="Q18" s="13" t="s">
        <v>287</v>
      </c>
      <c r="R18" s="474" t="s">
        <v>678</v>
      </c>
    </row>
    <row r="19" spans="1:22">
      <c r="A19" s="13">
        <v>86</v>
      </c>
      <c r="B19" s="13">
        <v>91</v>
      </c>
      <c r="C19" s="13">
        <v>5154</v>
      </c>
      <c r="D19" s="13" t="s">
        <v>632</v>
      </c>
      <c r="E19" s="13" t="s">
        <v>291</v>
      </c>
      <c r="F19" s="36" t="s">
        <v>292</v>
      </c>
      <c r="G19" s="36" t="s">
        <v>227</v>
      </c>
      <c r="H19" s="449">
        <v>37000000</v>
      </c>
      <c r="I19" s="289">
        <v>37000000</v>
      </c>
      <c r="J19" s="11">
        <v>43868</v>
      </c>
      <c r="K19" s="11">
        <f>J19+35</f>
        <v>43903</v>
      </c>
      <c r="L19" s="289">
        <v>37000000</v>
      </c>
      <c r="M19" s="11">
        <f>J19+180</f>
        <v>44048</v>
      </c>
      <c r="N19" s="289">
        <v>37000000</v>
      </c>
      <c r="O19" s="289">
        <f>L19-N19</f>
        <v>0</v>
      </c>
      <c r="P19" s="11">
        <v>44051</v>
      </c>
      <c r="Q19" s="13" t="s">
        <v>287</v>
      </c>
      <c r="R19" s="474" t="s">
        <v>686</v>
      </c>
    </row>
    <row r="20" spans="1:22" s="481" customFormat="1">
      <c r="A20" s="481">
        <v>94</v>
      </c>
      <c r="B20" s="481">
        <v>100</v>
      </c>
      <c r="C20" s="481" t="s">
        <v>416</v>
      </c>
      <c r="D20" s="481" t="s">
        <v>622</v>
      </c>
      <c r="E20" s="481" t="s">
        <v>289</v>
      </c>
      <c r="F20" s="482" t="s">
        <v>293</v>
      </c>
      <c r="G20" s="482" t="s">
        <v>78</v>
      </c>
      <c r="H20" s="483">
        <v>0</v>
      </c>
      <c r="I20" s="484"/>
      <c r="J20" s="485"/>
      <c r="K20" s="485"/>
      <c r="L20" s="484"/>
      <c r="M20" s="485"/>
      <c r="N20" s="484"/>
      <c r="O20" s="484"/>
      <c r="P20" s="485"/>
      <c r="Q20" s="481" t="s">
        <v>287</v>
      </c>
      <c r="R20" s="485"/>
    </row>
    <row r="21" spans="1:22" s="475" customFormat="1">
      <c r="A21" s="475">
        <v>95</v>
      </c>
      <c r="B21" s="475">
        <v>101</v>
      </c>
      <c r="C21" s="475" t="s">
        <v>417</v>
      </c>
      <c r="D21" s="475" t="s">
        <v>43</v>
      </c>
      <c r="E21" s="475" t="s">
        <v>289</v>
      </c>
      <c r="F21" s="476" t="s">
        <v>430</v>
      </c>
      <c r="G21" s="476" t="s">
        <v>78</v>
      </c>
      <c r="H21" s="486"/>
      <c r="I21" s="477"/>
      <c r="J21" s="478"/>
      <c r="K21" s="478"/>
      <c r="L21" s="477"/>
      <c r="M21" s="478"/>
      <c r="N21" s="477"/>
      <c r="O21" s="477"/>
      <c r="P21" s="478"/>
      <c r="Q21" s="475" t="s">
        <v>287</v>
      </c>
      <c r="R21" s="478"/>
    </row>
    <row r="22" spans="1:22" s="475" customFormat="1">
      <c r="A22" s="475">
        <v>103</v>
      </c>
      <c r="B22" s="475">
        <v>108</v>
      </c>
      <c r="C22" s="475" t="s">
        <v>418</v>
      </c>
      <c r="D22" s="475" t="s">
        <v>43</v>
      </c>
      <c r="E22" s="475" t="s">
        <v>97</v>
      </c>
      <c r="F22" s="476" t="s">
        <v>431</v>
      </c>
      <c r="G22" s="476" t="s">
        <v>95</v>
      </c>
      <c r="H22" s="486"/>
      <c r="I22" s="477"/>
      <c r="J22" s="478"/>
      <c r="K22" s="478"/>
      <c r="L22" s="477"/>
      <c r="M22" s="478"/>
      <c r="N22" s="477"/>
      <c r="O22" s="477"/>
      <c r="P22" s="478"/>
      <c r="Q22" s="475" t="s">
        <v>287</v>
      </c>
      <c r="R22" s="478"/>
    </row>
    <row r="23" spans="1:22" s="475" customFormat="1">
      <c r="A23" s="475">
        <v>136</v>
      </c>
      <c r="B23" s="475">
        <v>136</v>
      </c>
      <c r="C23" s="475" t="s">
        <v>419</v>
      </c>
      <c r="D23" s="475" t="s">
        <v>43</v>
      </c>
      <c r="E23" s="475" t="s">
        <v>289</v>
      </c>
      <c r="F23" s="476" t="s">
        <v>432</v>
      </c>
      <c r="G23" s="476" t="s">
        <v>78</v>
      </c>
      <c r="H23" s="486"/>
      <c r="I23" s="477"/>
      <c r="J23" s="478"/>
      <c r="K23" s="478"/>
      <c r="L23" s="477"/>
      <c r="M23" s="478"/>
      <c r="N23" s="477"/>
      <c r="O23" s="477"/>
      <c r="P23" s="478"/>
      <c r="Q23" s="475" t="s">
        <v>307</v>
      </c>
      <c r="R23" s="478"/>
    </row>
    <row r="24" spans="1:22" s="475" customFormat="1">
      <c r="A24" s="475" t="s">
        <v>147</v>
      </c>
      <c r="B24" s="475" t="s">
        <v>147</v>
      </c>
      <c r="C24" s="475" t="s">
        <v>664</v>
      </c>
      <c r="D24" s="475" t="s">
        <v>43</v>
      </c>
      <c r="E24" s="475" t="s">
        <v>97</v>
      </c>
      <c r="F24" s="476" t="s">
        <v>428</v>
      </c>
      <c r="G24" s="476" t="s">
        <v>95</v>
      </c>
      <c r="H24" s="486"/>
      <c r="I24" s="477"/>
      <c r="J24" s="478"/>
      <c r="K24" s="478"/>
      <c r="L24" s="477"/>
      <c r="M24" s="478"/>
      <c r="N24" s="477"/>
      <c r="O24" s="477"/>
      <c r="P24" s="478"/>
      <c r="Q24" s="475" t="s">
        <v>287</v>
      </c>
      <c r="R24" s="478"/>
    </row>
    <row r="25" spans="1:22" s="475" customFormat="1">
      <c r="A25" s="475" t="s">
        <v>147</v>
      </c>
      <c r="B25" s="475" t="s">
        <v>147</v>
      </c>
      <c r="C25" s="475" t="s">
        <v>683</v>
      </c>
      <c r="D25" s="475" t="s">
        <v>43</v>
      </c>
      <c r="E25" s="475" t="s">
        <v>289</v>
      </c>
      <c r="F25" s="476" t="s">
        <v>684</v>
      </c>
      <c r="G25" s="476" t="s">
        <v>78</v>
      </c>
      <c r="H25" s="486"/>
      <c r="I25" s="477"/>
      <c r="J25" s="478"/>
      <c r="K25" s="478"/>
      <c r="L25" s="477"/>
      <c r="M25" s="478"/>
      <c r="N25" s="477"/>
      <c r="O25" s="477"/>
      <c r="P25" s="478"/>
      <c r="Q25" s="475" t="s">
        <v>307</v>
      </c>
      <c r="R25" s="478"/>
    </row>
    <row r="26" spans="1:22" s="475" customFormat="1">
      <c r="A26" s="475" t="s">
        <v>147</v>
      </c>
      <c r="B26" s="475" t="s">
        <v>147</v>
      </c>
      <c r="C26" s="475" t="s">
        <v>708</v>
      </c>
      <c r="D26" s="475" t="s">
        <v>43</v>
      </c>
      <c r="E26" s="475" t="s">
        <v>289</v>
      </c>
      <c r="F26" s="476" t="s">
        <v>424</v>
      </c>
      <c r="G26" s="476" t="s">
        <v>78</v>
      </c>
      <c r="H26" s="486"/>
      <c r="I26" s="477"/>
      <c r="J26" s="478"/>
      <c r="K26" s="478"/>
      <c r="L26" s="477"/>
      <c r="M26" s="478"/>
      <c r="N26" s="477"/>
      <c r="O26" s="477"/>
      <c r="P26" s="478"/>
      <c r="Q26" s="475" t="s">
        <v>307</v>
      </c>
      <c r="R26" s="478"/>
    </row>
    <row r="27" spans="1:22" s="5" customFormat="1">
      <c r="F27" s="26"/>
      <c r="G27" s="26"/>
      <c r="H27" s="84"/>
      <c r="I27" s="32"/>
      <c r="J27" s="6"/>
      <c r="K27" s="6"/>
      <c r="L27" s="32"/>
      <c r="M27" s="6"/>
      <c r="N27" s="32"/>
      <c r="O27" s="32"/>
      <c r="P27" s="6"/>
      <c r="Q27" s="13"/>
      <c r="R27" s="6"/>
      <c r="S27" s="13"/>
      <c r="T27" s="13"/>
      <c r="U27" s="13"/>
      <c r="V27" s="13"/>
    </row>
    <row r="28" spans="1:22">
      <c r="A28" s="43"/>
      <c r="B28" s="43"/>
      <c r="C28" s="43"/>
      <c r="D28" s="43"/>
      <c r="E28" s="1"/>
      <c r="F28" s="13" t="s">
        <v>19</v>
      </c>
      <c r="H28" s="263">
        <f>SUM(H7:H27)</f>
        <v>218000000</v>
      </c>
      <c r="I28" s="263">
        <f>SUM(I7:I27)</f>
        <v>218000000</v>
      </c>
      <c r="J28" s="10"/>
      <c r="K28" s="10"/>
      <c r="L28" s="263">
        <f>SUM(L7:L27)</f>
        <v>205500000</v>
      </c>
      <c r="M28" s="10"/>
      <c r="N28" s="263">
        <f t="shared" ref="N28:O28" si="0">SUM(N7:N27)</f>
        <v>117699094.47</v>
      </c>
      <c r="O28" s="263">
        <f t="shared" si="0"/>
        <v>100300905.53</v>
      </c>
    </row>
    <row r="29" spans="1:22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22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22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22" s="1" customFormat="1">
      <c r="A32" s="5"/>
      <c r="B32" s="5"/>
      <c r="C32" s="5"/>
      <c r="E32" s="133"/>
      <c r="F32" s="58" t="s">
        <v>10</v>
      </c>
      <c r="G32" s="5"/>
      <c r="H32" s="77">
        <f>E1-I28+O28+G38</f>
        <v>75684346.530000001</v>
      </c>
      <c r="I32" s="293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21"/>
      <c r="N33" s="373"/>
    </row>
    <row r="34" spans="1:14">
      <c r="D34" s="43"/>
      <c r="F34" s="58"/>
      <c r="H34" s="27"/>
      <c r="I34" s="97"/>
      <c r="N34" s="373"/>
    </row>
    <row r="35" spans="1:14">
      <c r="D35" s="43"/>
      <c r="F35" s="58"/>
      <c r="H35" s="27"/>
      <c r="I35" s="97"/>
      <c r="L35" s="422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D37" s="43"/>
      <c r="G37" s="405"/>
      <c r="H37" s="288"/>
      <c r="I37" s="307"/>
      <c r="N37" s="12"/>
    </row>
    <row r="38" spans="1:14">
      <c r="E38" s="43"/>
      <c r="F38" s="43"/>
      <c r="G38" s="299">
        <f>SUM(G36:G37)</f>
        <v>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20"/>
  <sheetViews>
    <sheetView zoomScaleNormal="100" workbookViewId="0">
      <selection activeCell="H14" sqref="H14"/>
    </sheetView>
  </sheetViews>
  <sheetFormatPr defaultColWidth="10.85546875" defaultRowHeight="12"/>
  <cols>
    <col min="1" max="1" width="9.28515625" style="13" customWidth="1"/>
    <col min="2" max="2" width="7.140625" style="13" bestFit="1" customWidth="1"/>
    <col min="3" max="3" width="10.140625" style="13" bestFit="1" customWidth="1"/>
    <col min="4" max="4" width="12.28515625" style="13" bestFit="1" customWidth="1"/>
    <col min="5" max="5" width="25.5703125" style="13" customWidth="1"/>
    <col min="6" max="6" width="28.855468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ROUND(Totals!$H$8*Totals!$P$11, 0)</f>
        <v>27644441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>
        <v>18</v>
      </c>
      <c r="B7" s="481">
        <v>21</v>
      </c>
      <c r="C7" s="481">
        <v>5108</v>
      </c>
      <c r="D7" s="481" t="s">
        <v>622</v>
      </c>
      <c r="E7" s="481" t="s">
        <v>433</v>
      </c>
      <c r="F7" s="482" t="s">
        <v>434</v>
      </c>
      <c r="G7" s="482" t="s">
        <v>435</v>
      </c>
      <c r="H7" s="405">
        <v>20000000</v>
      </c>
      <c r="I7" s="491">
        <f>H7</f>
        <v>20000000</v>
      </c>
      <c r="J7" s="485">
        <v>43839</v>
      </c>
      <c r="K7" s="485">
        <f>J7+35</f>
        <v>43874</v>
      </c>
      <c r="L7" s="491">
        <v>20000000</v>
      </c>
      <c r="M7" s="485">
        <f>J7+180</f>
        <v>44019</v>
      </c>
      <c r="N7" s="405">
        <v>0</v>
      </c>
      <c r="O7" s="492">
        <f>L7-N7</f>
        <v>20000000</v>
      </c>
      <c r="P7" s="485">
        <v>43942</v>
      </c>
      <c r="Q7" s="481" t="s">
        <v>219</v>
      </c>
      <c r="R7" s="493" t="s">
        <v>626</v>
      </c>
    </row>
    <row r="8" spans="1:22">
      <c r="F8" s="36"/>
      <c r="G8" s="36"/>
      <c r="H8" s="289"/>
      <c r="I8" s="289"/>
      <c r="J8" s="11"/>
      <c r="K8" s="11"/>
      <c r="L8" s="289"/>
      <c r="M8" s="11"/>
      <c r="N8" s="353"/>
      <c r="O8" s="368"/>
      <c r="P8" s="11"/>
      <c r="R8" s="43"/>
    </row>
    <row r="9" spans="1:22">
      <c r="F9" s="36"/>
      <c r="G9" s="36"/>
      <c r="H9" s="289"/>
      <c r="I9" s="289"/>
      <c r="J9" s="11"/>
      <c r="K9" s="11"/>
      <c r="L9" s="353"/>
      <c r="M9" s="11"/>
      <c r="N9" s="353"/>
      <c r="O9" s="315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20000000</v>
      </c>
      <c r="I10" s="263">
        <f>SUM(I7:I9)</f>
        <v>20000000</v>
      </c>
      <c r="J10" s="10"/>
      <c r="K10" s="10"/>
      <c r="L10" s="263">
        <f>SUM(L7:L9)</f>
        <v>20000000</v>
      </c>
      <c r="M10" s="10"/>
      <c r="N10" s="263">
        <f>SUM(N7:N9)</f>
        <v>0</v>
      </c>
      <c r="O10" s="263">
        <f>SUM(O7:O9)</f>
        <v>20000000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83"/>
      <c r="M12" s="3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+E1-I10+O10+G17</f>
        <v>27644441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H16" s="65"/>
    </row>
    <row r="17" spans="7:13">
      <c r="G17" s="300"/>
      <c r="H17" s="65"/>
    </row>
    <row r="18" spans="7:13">
      <c r="H18" s="65"/>
    </row>
    <row r="19" spans="7:13">
      <c r="M19" s="11"/>
    </row>
    <row r="20" spans="7:13">
      <c r="M20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3.570312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ROUND(Totals!$H$8*Totals!$P$12, 0)</f>
        <v>18477056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45"/>
      <c r="M7" s="11"/>
      <c r="N7" s="45"/>
      <c r="O7" s="53"/>
      <c r="P7" s="11"/>
    </row>
    <row r="8" spans="1:22">
      <c r="F8" s="36"/>
      <c r="G8" s="36"/>
      <c r="H8" s="27"/>
      <c r="I8" s="27"/>
      <c r="J8" s="11"/>
      <c r="K8" s="11"/>
      <c r="L8" s="45"/>
      <c r="M8" s="11"/>
      <c r="N8" s="45"/>
      <c r="O8" s="53"/>
      <c r="P8" s="11"/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18477056</v>
      </c>
      <c r="I14" s="293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300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29" sqref="H29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5" style="13" customWidth="1"/>
    <col min="6" max="6" width="26.7109375" style="13" bestFit="1" customWidth="1"/>
    <col min="7" max="7" width="12.42578125" style="13" customWidth="1"/>
    <col min="8" max="8" width="14.42578125" style="12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4.28515625" style="34" customWidth="1"/>
    <col min="13" max="13" width="10.85546875" style="13" bestFit="1" customWidth="1"/>
    <col min="14" max="14" width="15.28515625" style="57" customWidth="1"/>
    <col min="15" max="15" width="14.710937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9" width="28.42578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ROUND(Totals!$H$8*Totals!$P$13, 0)+1</f>
        <v>175411585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8</v>
      </c>
      <c r="B7" s="13">
        <v>9</v>
      </c>
      <c r="C7" s="13">
        <v>5106</v>
      </c>
      <c r="D7" s="13" t="s">
        <v>632</v>
      </c>
      <c r="E7" s="13" t="s">
        <v>230</v>
      </c>
      <c r="F7" s="36" t="s">
        <v>442</v>
      </c>
      <c r="G7" s="36" t="s">
        <v>80</v>
      </c>
      <c r="H7" s="289">
        <v>35000000</v>
      </c>
      <c r="I7" s="289">
        <f>H7</f>
        <v>35000000</v>
      </c>
      <c r="J7" s="11">
        <v>43838</v>
      </c>
      <c r="K7" s="11">
        <f t="shared" ref="K7:K13" si="0">J7+35</f>
        <v>43873</v>
      </c>
      <c r="L7" s="289">
        <v>35000000</v>
      </c>
      <c r="M7" s="11">
        <f t="shared" ref="M7:M13" si="1">J7+180</f>
        <v>44018</v>
      </c>
      <c r="N7" s="289">
        <v>0</v>
      </c>
      <c r="O7" s="289">
        <f>L7-N7</f>
        <v>35000000</v>
      </c>
      <c r="P7" s="11">
        <v>44020</v>
      </c>
      <c r="Q7" s="13" t="s">
        <v>219</v>
      </c>
      <c r="R7" s="474" t="s">
        <v>624</v>
      </c>
      <c r="S7" s="437" t="s">
        <v>801</v>
      </c>
    </row>
    <row r="8" spans="1:22">
      <c r="A8" s="13">
        <v>10</v>
      </c>
      <c r="B8" s="13">
        <v>12</v>
      </c>
      <c r="C8" s="13">
        <v>5111</v>
      </c>
      <c r="D8" s="13" t="s">
        <v>622</v>
      </c>
      <c r="E8" s="13" t="s">
        <v>295</v>
      </c>
      <c r="F8" s="36" t="s">
        <v>443</v>
      </c>
      <c r="G8" s="36" t="s">
        <v>444</v>
      </c>
      <c r="H8" s="289">
        <v>22500000</v>
      </c>
      <c r="I8" s="289">
        <v>22500000</v>
      </c>
      <c r="J8" s="11">
        <v>43840</v>
      </c>
      <c r="K8" s="11">
        <f t="shared" si="0"/>
        <v>43875</v>
      </c>
      <c r="L8" s="289">
        <v>22500000</v>
      </c>
      <c r="M8" s="11">
        <f t="shared" si="1"/>
        <v>44020</v>
      </c>
      <c r="N8" s="289">
        <v>0</v>
      </c>
      <c r="O8" s="289">
        <f>L8-N8</f>
        <v>22500000</v>
      </c>
      <c r="P8" s="11">
        <v>43986</v>
      </c>
      <c r="Q8" s="13" t="s">
        <v>219</v>
      </c>
      <c r="R8" s="474" t="s">
        <v>627</v>
      </c>
    </row>
    <row r="9" spans="1:22">
      <c r="A9" s="13">
        <v>16</v>
      </c>
      <c r="B9" s="13">
        <v>18</v>
      </c>
      <c r="C9" s="13">
        <v>5115</v>
      </c>
      <c r="D9" s="13" t="s">
        <v>622</v>
      </c>
      <c r="E9" s="13" t="s">
        <v>297</v>
      </c>
      <c r="F9" s="36" t="s">
        <v>445</v>
      </c>
      <c r="G9" s="36" t="s">
        <v>321</v>
      </c>
      <c r="H9" s="289">
        <v>22700000</v>
      </c>
      <c r="I9" s="289">
        <v>22700000</v>
      </c>
      <c r="J9" s="11">
        <v>43841</v>
      </c>
      <c r="K9" s="11">
        <f t="shared" si="0"/>
        <v>43876</v>
      </c>
      <c r="L9" s="353">
        <v>0</v>
      </c>
      <c r="M9" s="11">
        <f t="shared" si="1"/>
        <v>44021</v>
      </c>
      <c r="N9" s="289">
        <v>0</v>
      </c>
      <c r="O9" s="289">
        <f>I9-L9</f>
        <v>22700000</v>
      </c>
      <c r="P9" s="11">
        <v>43880</v>
      </c>
      <c r="Q9" s="13" t="s">
        <v>220</v>
      </c>
      <c r="R9" s="474" t="s">
        <v>630</v>
      </c>
    </row>
    <row r="10" spans="1:22">
      <c r="A10" s="13">
        <v>17</v>
      </c>
      <c r="B10" s="13">
        <v>19</v>
      </c>
      <c r="C10" s="13">
        <v>5116</v>
      </c>
      <c r="D10" s="13" t="s">
        <v>622</v>
      </c>
      <c r="E10" s="13" t="s">
        <v>297</v>
      </c>
      <c r="F10" s="36" t="s">
        <v>446</v>
      </c>
      <c r="G10" s="36" t="s">
        <v>80</v>
      </c>
      <c r="H10" s="289">
        <v>15000000</v>
      </c>
      <c r="I10" s="289">
        <f>H10</f>
        <v>15000000</v>
      </c>
      <c r="J10" s="11">
        <v>43846</v>
      </c>
      <c r="K10" s="11">
        <f t="shared" si="0"/>
        <v>43881</v>
      </c>
      <c r="L10" s="289">
        <v>15000000</v>
      </c>
      <c r="M10" s="11">
        <f t="shared" si="1"/>
        <v>44026</v>
      </c>
      <c r="N10" s="289">
        <v>0</v>
      </c>
      <c r="O10" s="289">
        <f>L10-N10</f>
        <v>15000000</v>
      </c>
      <c r="P10" s="11">
        <v>43995</v>
      </c>
      <c r="Q10" s="13" t="s">
        <v>220</v>
      </c>
      <c r="R10" s="474" t="s">
        <v>635</v>
      </c>
    </row>
    <row r="11" spans="1:22">
      <c r="A11" s="13">
        <v>24</v>
      </c>
      <c r="B11" s="13">
        <v>29</v>
      </c>
      <c r="C11" s="13">
        <v>5122</v>
      </c>
      <c r="D11" s="13" t="s">
        <v>632</v>
      </c>
      <c r="E11" s="13" t="s">
        <v>297</v>
      </c>
      <c r="F11" s="36" t="s">
        <v>447</v>
      </c>
      <c r="G11" s="36" t="s">
        <v>80</v>
      </c>
      <c r="H11" s="289">
        <v>19750000</v>
      </c>
      <c r="I11" s="289">
        <f>H11</f>
        <v>19750000</v>
      </c>
      <c r="J11" s="11">
        <v>43851</v>
      </c>
      <c r="K11" s="11">
        <f t="shared" si="0"/>
        <v>43886</v>
      </c>
      <c r="L11" s="289">
        <v>19750000</v>
      </c>
      <c r="M11" s="11">
        <f t="shared" si="1"/>
        <v>44031</v>
      </c>
      <c r="N11" s="289">
        <v>14456000</v>
      </c>
      <c r="O11" s="289">
        <f>L11-N11</f>
        <v>5294000</v>
      </c>
      <c r="P11" s="11">
        <v>44034</v>
      </c>
      <c r="Q11" s="13" t="s">
        <v>219</v>
      </c>
      <c r="R11" s="474" t="s">
        <v>639</v>
      </c>
      <c r="S11" s="437" t="s">
        <v>815</v>
      </c>
    </row>
    <row r="12" spans="1:22">
      <c r="A12" s="13">
        <v>25</v>
      </c>
      <c r="B12" s="13">
        <v>31</v>
      </c>
      <c r="C12" s="13">
        <v>5128</v>
      </c>
      <c r="D12" s="13" t="s">
        <v>632</v>
      </c>
      <c r="E12" s="13" t="s">
        <v>295</v>
      </c>
      <c r="F12" s="36" t="s">
        <v>448</v>
      </c>
      <c r="G12" s="36" t="s">
        <v>444</v>
      </c>
      <c r="H12" s="289">
        <v>45000000</v>
      </c>
      <c r="I12" s="289">
        <f>H12</f>
        <v>45000000</v>
      </c>
      <c r="J12" s="11">
        <v>43852</v>
      </c>
      <c r="K12" s="11">
        <f t="shared" si="0"/>
        <v>43887</v>
      </c>
      <c r="L12" s="289">
        <v>45000000</v>
      </c>
      <c r="M12" s="11">
        <f t="shared" si="1"/>
        <v>44032</v>
      </c>
      <c r="N12" s="289">
        <v>0</v>
      </c>
      <c r="O12" s="289">
        <v>45000000</v>
      </c>
      <c r="P12" s="11">
        <v>44034</v>
      </c>
      <c r="Q12" s="13" t="s">
        <v>219</v>
      </c>
      <c r="R12" s="474" t="s">
        <v>641</v>
      </c>
      <c r="S12" s="437" t="s">
        <v>648</v>
      </c>
    </row>
    <row r="13" spans="1:22">
      <c r="A13" s="13">
        <v>27</v>
      </c>
      <c r="B13" s="13">
        <v>33</v>
      </c>
      <c r="C13" s="13">
        <v>5139</v>
      </c>
      <c r="D13" s="13" t="s">
        <v>632</v>
      </c>
      <c r="E13" s="13" t="s">
        <v>297</v>
      </c>
      <c r="F13" s="36" t="s">
        <v>449</v>
      </c>
      <c r="G13" s="36" t="s">
        <v>80</v>
      </c>
      <c r="H13" s="289">
        <v>22000000</v>
      </c>
      <c r="I13" s="289">
        <v>22000000</v>
      </c>
      <c r="J13" s="11">
        <v>43858</v>
      </c>
      <c r="K13" s="11">
        <f t="shared" si="0"/>
        <v>43893</v>
      </c>
      <c r="L13" s="289">
        <v>22000000</v>
      </c>
      <c r="M13" s="11">
        <f t="shared" si="1"/>
        <v>44038</v>
      </c>
      <c r="N13" s="289">
        <v>21450000</v>
      </c>
      <c r="O13" s="289">
        <f>L13-N13</f>
        <v>550000</v>
      </c>
      <c r="P13" s="11">
        <v>44047</v>
      </c>
      <c r="Q13" s="13" t="s">
        <v>219</v>
      </c>
      <c r="R13" s="499" t="s">
        <v>658</v>
      </c>
    </row>
    <row r="14" spans="1:22">
      <c r="A14" s="13">
        <v>48</v>
      </c>
      <c r="B14" s="13">
        <v>59</v>
      </c>
      <c r="C14" s="13" t="s">
        <v>436</v>
      </c>
      <c r="D14" s="13" t="s">
        <v>622</v>
      </c>
      <c r="E14" s="13" t="s">
        <v>297</v>
      </c>
      <c r="F14" s="36" t="s">
        <v>450</v>
      </c>
      <c r="G14" s="36" t="s">
        <v>451</v>
      </c>
      <c r="H14" s="289">
        <v>0</v>
      </c>
      <c r="I14" s="289"/>
      <c r="J14" s="11"/>
      <c r="K14" s="11"/>
      <c r="L14" s="353"/>
      <c r="M14" s="11"/>
      <c r="N14" s="289"/>
      <c r="O14" s="289"/>
      <c r="P14" s="11"/>
      <c r="Q14" s="13" t="s">
        <v>287</v>
      </c>
      <c r="R14" s="43" t="s">
        <v>656</v>
      </c>
    </row>
    <row r="15" spans="1:22">
      <c r="A15" s="13">
        <v>49</v>
      </c>
      <c r="B15" s="13">
        <v>60</v>
      </c>
      <c r="C15" s="13" t="s">
        <v>437</v>
      </c>
      <c r="D15" s="13" t="s">
        <v>622</v>
      </c>
      <c r="E15" s="13" t="s">
        <v>295</v>
      </c>
      <c r="F15" s="36" t="s">
        <v>452</v>
      </c>
      <c r="G15" s="36" t="s">
        <v>444</v>
      </c>
      <c r="H15" s="289">
        <v>0</v>
      </c>
      <c r="I15" s="289"/>
      <c r="J15" s="11"/>
      <c r="K15" s="11"/>
      <c r="L15" s="353"/>
      <c r="M15" s="11"/>
      <c r="N15" s="289"/>
      <c r="O15" s="289"/>
      <c r="P15" s="11"/>
      <c r="Q15" s="13" t="s">
        <v>287</v>
      </c>
      <c r="R15" s="43" t="s">
        <v>657</v>
      </c>
    </row>
    <row r="16" spans="1:22">
      <c r="A16" s="13">
        <v>59</v>
      </c>
      <c r="B16" s="13">
        <v>68</v>
      </c>
      <c r="C16" s="13" t="s">
        <v>438</v>
      </c>
      <c r="D16" s="13" t="s">
        <v>622</v>
      </c>
      <c r="E16" s="13" t="s">
        <v>230</v>
      </c>
      <c r="F16" s="36" t="s">
        <v>453</v>
      </c>
      <c r="G16" s="36" t="s">
        <v>80</v>
      </c>
      <c r="H16" s="289">
        <v>0</v>
      </c>
      <c r="I16" s="289"/>
      <c r="J16" s="11"/>
      <c r="K16" s="11"/>
      <c r="L16" s="353"/>
      <c r="M16" s="11"/>
      <c r="N16" s="289"/>
      <c r="O16" s="289"/>
      <c r="P16" s="11"/>
      <c r="Q16" s="13" t="s">
        <v>287</v>
      </c>
      <c r="R16" s="43" t="s">
        <v>668</v>
      </c>
    </row>
    <row r="17" spans="1:19">
      <c r="A17" s="13">
        <v>77</v>
      </c>
      <c r="B17" s="13">
        <v>84</v>
      </c>
      <c r="C17" s="13">
        <v>5147</v>
      </c>
      <c r="D17" s="13" t="s">
        <v>632</v>
      </c>
      <c r="E17" s="13" t="s">
        <v>297</v>
      </c>
      <c r="F17" s="36" t="s">
        <v>454</v>
      </c>
      <c r="G17" s="36" t="s">
        <v>80</v>
      </c>
      <c r="H17" s="289">
        <v>20000000</v>
      </c>
      <c r="I17" s="289">
        <f>H17</f>
        <v>20000000</v>
      </c>
      <c r="J17" s="11">
        <v>43861</v>
      </c>
      <c r="K17" s="11">
        <f>J17+35</f>
        <v>43896</v>
      </c>
      <c r="L17" s="289">
        <v>20000000</v>
      </c>
      <c r="M17" s="11">
        <f>J17+180</f>
        <v>44041</v>
      </c>
      <c r="N17" s="289">
        <v>12200000</v>
      </c>
      <c r="O17" s="289">
        <f>L17-N17</f>
        <v>7800000</v>
      </c>
      <c r="P17" s="11">
        <v>44049</v>
      </c>
      <c r="Q17" s="13" t="s">
        <v>287</v>
      </c>
      <c r="R17" s="499" t="s">
        <v>671</v>
      </c>
    </row>
    <row r="18" spans="1:19">
      <c r="A18" s="13">
        <v>90</v>
      </c>
      <c r="B18" s="13">
        <v>95</v>
      </c>
      <c r="C18" s="13">
        <v>5145</v>
      </c>
      <c r="D18" s="13" t="s">
        <v>632</v>
      </c>
      <c r="E18" s="13" t="s">
        <v>230</v>
      </c>
      <c r="F18" s="36" t="s">
        <v>455</v>
      </c>
      <c r="G18" s="36" t="s">
        <v>80</v>
      </c>
      <c r="H18" s="289">
        <v>38000000</v>
      </c>
      <c r="I18" s="289">
        <f>H18</f>
        <v>38000000</v>
      </c>
      <c r="J18" s="11">
        <v>43860</v>
      </c>
      <c r="K18" s="11">
        <f>J18+35</f>
        <v>43895</v>
      </c>
      <c r="L18" s="289">
        <v>38000000</v>
      </c>
      <c r="M18" s="11">
        <f>J18+180</f>
        <v>44040</v>
      </c>
      <c r="N18" s="289">
        <v>0</v>
      </c>
      <c r="O18" s="289">
        <f>L18-N18</f>
        <v>38000000</v>
      </c>
      <c r="P18" s="11">
        <v>44020</v>
      </c>
      <c r="Q18" s="13" t="s">
        <v>287</v>
      </c>
      <c r="R18" s="499" t="s">
        <v>667</v>
      </c>
      <c r="S18" s="437" t="s">
        <v>802</v>
      </c>
    </row>
    <row r="19" spans="1:19">
      <c r="A19" s="13">
        <v>99</v>
      </c>
      <c r="B19" s="13">
        <v>105</v>
      </c>
      <c r="C19" s="13" t="s">
        <v>439</v>
      </c>
      <c r="D19" s="13" t="s">
        <v>622</v>
      </c>
      <c r="E19" s="13" t="s">
        <v>230</v>
      </c>
      <c r="F19" s="36" t="s">
        <v>456</v>
      </c>
      <c r="G19" s="36" t="s">
        <v>80</v>
      </c>
      <c r="H19" s="289">
        <v>0</v>
      </c>
      <c r="I19" s="289"/>
      <c r="J19" s="11"/>
      <c r="K19" s="11"/>
      <c r="L19" s="353"/>
      <c r="M19" s="11"/>
      <c r="N19" s="289"/>
      <c r="O19" s="289"/>
      <c r="P19" s="11"/>
      <c r="Q19" s="13" t="s">
        <v>287</v>
      </c>
      <c r="R19" s="43" t="s">
        <v>680</v>
      </c>
    </row>
    <row r="20" spans="1:19" s="481" customFormat="1">
      <c r="A20" s="481">
        <v>105</v>
      </c>
      <c r="B20" s="481">
        <v>109</v>
      </c>
      <c r="C20" s="481">
        <v>5158</v>
      </c>
      <c r="D20" s="481" t="s">
        <v>622</v>
      </c>
      <c r="E20" s="481" t="s">
        <v>297</v>
      </c>
      <c r="F20" s="482" t="s">
        <v>457</v>
      </c>
      <c r="G20" s="482" t="s">
        <v>451</v>
      </c>
      <c r="H20" s="405">
        <v>29000000</v>
      </c>
      <c r="I20" s="405">
        <v>29000000</v>
      </c>
      <c r="J20" s="485">
        <v>43886</v>
      </c>
      <c r="K20" s="485">
        <f>J20+35</f>
        <v>43921</v>
      </c>
      <c r="L20" s="405">
        <v>29000000</v>
      </c>
      <c r="M20" s="485">
        <f>J20+180</f>
        <v>44066</v>
      </c>
      <c r="N20" s="405">
        <v>0</v>
      </c>
      <c r="O20" s="405">
        <f>L20-N20</f>
        <v>29000000</v>
      </c>
      <c r="P20" s="485">
        <v>44051</v>
      </c>
      <c r="Q20" s="481" t="s">
        <v>287</v>
      </c>
      <c r="R20" s="517" t="s">
        <v>704</v>
      </c>
    </row>
    <row r="21" spans="1:19" s="475" customFormat="1">
      <c r="A21" s="475">
        <v>113</v>
      </c>
      <c r="B21" s="475">
        <v>119</v>
      </c>
      <c r="C21" s="475" t="s">
        <v>440</v>
      </c>
      <c r="D21" s="475" t="s">
        <v>43</v>
      </c>
      <c r="E21" s="475" t="s">
        <v>297</v>
      </c>
      <c r="F21" s="476" t="s">
        <v>458</v>
      </c>
      <c r="G21" s="476" t="s">
        <v>80</v>
      </c>
      <c r="H21" s="477"/>
      <c r="I21" s="477"/>
      <c r="J21" s="478"/>
      <c r="K21" s="478"/>
      <c r="L21" s="479"/>
      <c r="M21" s="478"/>
      <c r="N21" s="477"/>
      <c r="O21" s="477"/>
      <c r="P21" s="478"/>
      <c r="Q21" s="475" t="s">
        <v>307</v>
      </c>
    </row>
    <row r="22" spans="1:19" s="475" customFormat="1">
      <c r="A22" s="475">
        <v>123</v>
      </c>
      <c r="B22" s="475">
        <v>127</v>
      </c>
      <c r="C22" s="475" t="s">
        <v>441</v>
      </c>
      <c r="D22" s="475" t="s">
        <v>43</v>
      </c>
      <c r="E22" s="475" t="s">
        <v>297</v>
      </c>
      <c r="F22" s="476" t="s">
        <v>459</v>
      </c>
      <c r="G22" s="476" t="s">
        <v>80</v>
      </c>
      <c r="H22" s="477"/>
      <c r="I22" s="477"/>
      <c r="J22" s="478"/>
      <c r="K22" s="478"/>
      <c r="L22" s="479"/>
      <c r="M22" s="478"/>
      <c r="N22" s="477"/>
      <c r="O22" s="477"/>
      <c r="P22" s="478"/>
      <c r="Q22" s="475" t="s">
        <v>307</v>
      </c>
    </row>
    <row r="23" spans="1:19" s="475" customFormat="1">
      <c r="A23" s="475" t="s">
        <v>147</v>
      </c>
      <c r="B23" s="475" t="s">
        <v>147</v>
      </c>
      <c r="C23" s="475" t="s">
        <v>700</v>
      </c>
      <c r="D23" s="475" t="s">
        <v>43</v>
      </c>
      <c r="E23" s="475" t="s">
        <v>295</v>
      </c>
      <c r="F23" s="476" t="s">
        <v>452</v>
      </c>
      <c r="G23" s="476" t="s">
        <v>444</v>
      </c>
      <c r="H23" s="477"/>
      <c r="I23" s="477"/>
      <c r="J23" s="478"/>
      <c r="K23" s="478"/>
      <c r="L23" s="479"/>
      <c r="M23" s="478"/>
      <c r="N23" s="477"/>
      <c r="O23" s="477"/>
      <c r="P23" s="478"/>
      <c r="Q23" s="475" t="s">
        <v>307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268950000</v>
      </c>
      <c r="I25" s="263">
        <f>SUM(I7:I24)</f>
        <v>268950000</v>
      </c>
      <c r="J25" s="10"/>
      <c r="K25" s="10"/>
      <c r="L25" s="263">
        <f>SUM(L7:L24)</f>
        <v>246250000</v>
      </c>
      <c r="M25" s="10"/>
      <c r="N25" s="263">
        <f>SUM(N7:N24)</f>
        <v>48106000</v>
      </c>
      <c r="O25" s="263">
        <f>SUM(O7:O24)</f>
        <v>220844000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+E1-I25+O25+G33</f>
        <v>127305585</v>
      </c>
      <c r="I29" s="293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G32" s="405"/>
      <c r="H32" s="467"/>
    </row>
    <row r="33" spans="1:10">
      <c r="A33" s="5"/>
      <c r="B33" s="5"/>
      <c r="C33" s="5"/>
      <c r="G33" s="471">
        <f>SUM(G32)</f>
        <v>0</v>
      </c>
    </row>
    <row r="36" spans="1:10">
      <c r="G36" s="289"/>
      <c r="H36" s="472"/>
      <c r="J36" s="13" t="s">
        <v>7</v>
      </c>
    </row>
    <row r="37" spans="1:10">
      <c r="G37" s="289"/>
      <c r="H37" s="467"/>
    </row>
    <row r="38" spans="1:10">
      <c r="C38" s="43"/>
      <c r="D38" s="43"/>
      <c r="E38" s="148"/>
    </row>
    <row r="41" spans="1:10">
      <c r="A41" s="43"/>
      <c r="B41" s="43"/>
      <c r="C41" s="43"/>
      <c r="D41" s="43"/>
      <c r="E41" s="43"/>
      <c r="F41" s="43"/>
      <c r="G41" s="43"/>
      <c r="H41" s="43"/>
    </row>
    <row r="44" spans="1:10">
      <c r="A44" s="43"/>
      <c r="B44" s="43"/>
      <c r="C44" s="43"/>
      <c r="D44" s="43"/>
      <c r="E44" s="43"/>
      <c r="F44" s="43"/>
      <c r="G44" s="43"/>
      <c r="H44" s="43"/>
    </row>
    <row r="46" spans="1:10">
      <c r="A46" s="43"/>
      <c r="B46" s="43"/>
      <c r="C46" s="43"/>
      <c r="D46" s="43"/>
      <c r="E46" s="43"/>
      <c r="F46" s="43"/>
      <c r="G46" s="43"/>
      <c r="H46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7"/>
  <sheetViews>
    <sheetView zoomScaleNormal="100" workbookViewId="0">
      <selection activeCell="H34" sqref="H34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2.140625" style="13" bestFit="1" customWidth="1"/>
    <col min="5" max="5" width="26.42578125" style="13" customWidth="1"/>
    <col min="6" max="6" width="33" style="13" customWidth="1"/>
    <col min="7" max="7" width="14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4" style="12" bestFit="1" customWidth="1"/>
    <col min="16" max="16" width="10.5703125" style="13" bestFit="1" customWidth="1"/>
    <col min="17" max="17" width="10.28515625" style="13" bestFit="1" customWidth="1"/>
    <col min="18" max="18" width="40.42578125" style="13" bestFit="1" customWidth="1"/>
    <col min="19" max="19" width="24.7109375" style="13" bestFit="1" customWidth="1"/>
    <col min="20" max="20" width="14.28515625" style="13" bestFit="1" customWidth="1"/>
    <col min="21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ROUND(Totals!$H$8*Totals!$P$14, 0)</f>
        <v>57862114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2</v>
      </c>
      <c r="B7" s="13">
        <v>2</v>
      </c>
      <c r="C7" s="13" t="s">
        <v>460</v>
      </c>
      <c r="D7" s="13" t="s">
        <v>622</v>
      </c>
      <c r="E7" s="13" t="s">
        <v>141</v>
      </c>
      <c r="F7" s="36" t="s">
        <v>478</v>
      </c>
      <c r="G7" s="36" t="s">
        <v>142</v>
      </c>
      <c r="H7" s="449">
        <v>0</v>
      </c>
      <c r="I7" s="289"/>
      <c r="J7" s="11"/>
      <c r="K7" s="11"/>
      <c r="L7" s="289"/>
      <c r="M7" s="11"/>
      <c r="N7" s="289"/>
      <c r="O7" s="289"/>
      <c r="P7" s="11"/>
      <c r="Q7" s="13" t="s">
        <v>220</v>
      </c>
      <c r="R7" s="451" t="s">
        <v>623</v>
      </c>
    </row>
    <row r="8" spans="1:22" s="481" customFormat="1">
      <c r="A8" s="481">
        <v>21</v>
      </c>
      <c r="B8" s="481">
        <v>27</v>
      </c>
      <c r="C8" s="481">
        <v>5140</v>
      </c>
      <c r="D8" s="481" t="s">
        <v>632</v>
      </c>
      <c r="E8" s="481" t="s">
        <v>98</v>
      </c>
      <c r="F8" s="482" t="s">
        <v>479</v>
      </c>
      <c r="G8" s="482" t="s">
        <v>79</v>
      </c>
      <c r="H8" s="511">
        <v>60000000</v>
      </c>
      <c r="I8" s="405">
        <v>60000000</v>
      </c>
      <c r="J8" s="485">
        <v>43858</v>
      </c>
      <c r="K8" s="485">
        <f>J8+35</f>
        <v>43893</v>
      </c>
      <c r="L8" s="405">
        <v>60000000</v>
      </c>
      <c r="M8" s="485">
        <f>J8+180</f>
        <v>44038</v>
      </c>
      <c r="N8" s="513">
        <v>31298949.600000001</v>
      </c>
      <c r="O8" s="513">
        <f>L8-N8</f>
        <v>28701050.399999999</v>
      </c>
      <c r="P8" s="485">
        <v>44043</v>
      </c>
      <c r="Q8" s="481" t="s">
        <v>219</v>
      </c>
      <c r="R8" s="512" t="s">
        <v>658</v>
      </c>
      <c r="S8" s="508" t="s">
        <v>826</v>
      </c>
    </row>
    <row r="9" spans="1:22" s="475" customFormat="1">
      <c r="A9" s="475">
        <v>32</v>
      </c>
      <c r="B9" s="475">
        <v>44</v>
      </c>
      <c r="C9" s="475" t="s">
        <v>461</v>
      </c>
      <c r="D9" s="475" t="s">
        <v>43</v>
      </c>
      <c r="E9" s="475" t="s">
        <v>98</v>
      </c>
      <c r="F9" s="476" t="s">
        <v>197</v>
      </c>
      <c r="G9" s="476" t="s">
        <v>79</v>
      </c>
      <c r="H9" s="486"/>
      <c r="I9" s="477"/>
      <c r="J9" s="478"/>
      <c r="K9" s="478"/>
      <c r="L9" s="477"/>
      <c r="M9" s="478"/>
      <c r="N9" s="477"/>
      <c r="O9" s="477"/>
      <c r="P9" s="478"/>
      <c r="Q9" s="475" t="s">
        <v>219</v>
      </c>
      <c r="R9" s="478"/>
    </row>
    <row r="10" spans="1:22" s="475" customFormat="1">
      <c r="A10" s="475">
        <v>41</v>
      </c>
      <c r="B10" s="475">
        <v>53</v>
      </c>
      <c r="C10" s="475" t="s">
        <v>462</v>
      </c>
      <c r="D10" s="475" t="s">
        <v>43</v>
      </c>
      <c r="E10" s="475" t="s">
        <v>141</v>
      </c>
      <c r="F10" s="476" t="s">
        <v>304</v>
      </c>
      <c r="G10" s="476" t="s">
        <v>305</v>
      </c>
      <c r="H10" s="486"/>
      <c r="I10" s="477"/>
      <c r="J10" s="478"/>
      <c r="K10" s="478"/>
      <c r="L10" s="477"/>
      <c r="M10" s="478"/>
      <c r="N10" s="477"/>
      <c r="O10" s="477"/>
      <c r="P10" s="478"/>
      <c r="Q10" s="475" t="s">
        <v>287</v>
      </c>
      <c r="R10" s="478"/>
    </row>
    <row r="11" spans="1:22" s="475" customFormat="1">
      <c r="A11" s="475">
        <v>43</v>
      </c>
      <c r="B11" s="475">
        <v>55</v>
      </c>
      <c r="C11" s="475" t="s">
        <v>463</v>
      </c>
      <c r="D11" s="475" t="s">
        <v>43</v>
      </c>
      <c r="E11" s="475" t="s">
        <v>141</v>
      </c>
      <c r="F11" s="476" t="s">
        <v>480</v>
      </c>
      <c r="G11" s="476" t="s">
        <v>485</v>
      </c>
      <c r="H11" s="486"/>
      <c r="I11" s="477"/>
      <c r="J11" s="478"/>
      <c r="K11" s="478"/>
      <c r="L11" s="477"/>
      <c r="M11" s="478"/>
      <c r="N11" s="477"/>
      <c r="O11" s="477"/>
      <c r="P11" s="478"/>
      <c r="Q11" s="475" t="s">
        <v>287</v>
      </c>
      <c r="R11" s="478"/>
    </row>
    <row r="12" spans="1:22" s="475" customFormat="1">
      <c r="A12" s="475">
        <v>46</v>
      </c>
      <c r="B12" s="475">
        <v>57</v>
      </c>
      <c r="C12" s="475" t="s">
        <v>464</v>
      </c>
      <c r="D12" s="475" t="s">
        <v>43</v>
      </c>
      <c r="E12" s="475" t="s">
        <v>98</v>
      </c>
      <c r="F12" s="476" t="s">
        <v>481</v>
      </c>
      <c r="G12" s="476" t="s">
        <v>79</v>
      </c>
      <c r="H12" s="486"/>
      <c r="I12" s="477"/>
      <c r="J12" s="478"/>
      <c r="K12" s="478"/>
      <c r="L12" s="477"/>
      <c r="M12" s="478"/>
      <c r="N12" s="477"/>
      <c r="O12" s="477"/>
      <c r="P12" s="478"/>
      <c r="Q12" s="475" t="s">
        <v>287</v>
      </c>
      <c r="R12" s="478"/>
    </row>
    <row r="13" spans="1:22">
      <c r="A13" s="13">
        <v>54</v>
      </c>
      <c r="B13" s="13">
        <v>64</v>
      </c>
      <c r="C13" s="13">
        <v>5150</v>
      </c>
      <c r="D13" s="13" t="s">
        <v>632</v>
      </c>
      <c r="E13" s="13" t="s">
        <v>233</v>
      </c>
      <c r="F13" s="36" t="s">
        <v>303</v>
      </c>
      <c r="G13" s="36" t="s">
        <v>79</v>
      </c>
      <c r="H13" s="449">
        <v>50000000</v>
      </c>
      <c r="I13" s="289">
        <v>50000000</v>
      </c>
      <c r="J13" s="11">
        <v>43861</v>
      </c>
      <c r="K13" s="11">
        <f>J13+35</f>
        <v>43896</v>
      </c>
      <c r="L13" s="289">
        <v>50000000</v>
      </c>
      <c r="M13" s="11">
        <f>J13+180</f>
        <v>44041</v>
      </c>
      <c r="N13" s="289">
        <v>0</v>
      </c>
      <c r="O13" s="289">
        <f>L13-N13</f>
        <v>50000000</v>
      </c>
      <c r="P13" s="11">
        <v>43916</v>
      </c>
      <c r="Q13" s="13" t="s">
        <v>287</v>
      </c>
      <c r="R13" s="474" t="s">
        <v>674</v>
      </c>
      <c r="S13" s="437" t="s">
        <v>676</v>
      </c>
    </row>
    <row r="14" spans="1:22" s="475" customFormat="1">
      <c r="A14" s="475">
        <v>72</v>
      </c>
      <c r="B14" s="475">
        <v>80</v>
      </c>
      <c r="C14" s="475" t="s">
        <v>465</v>
      </c>
      <c r="D14" s="475" t="s">
        <v>43</v>
      </c>
      <c r="E14" s="475" t="s">
        <v>141</v>
      </c>
      <c r="F14" s="476" t="s">
        <v>482</v>
      </c>
      <c r="G14" s="476" t="s">
        <v>483</v>
      </c>
      <c r="H14" s="486"/>
      <c r="I14" s="477"/>
      <c r="J14" s="478"/>
      <c r="K14" s="478"/>
      <c r="L14" s="477"/>
      <c r="M14" s="478"/>
      <c r="N14" s="477"/>
      <c r="O14" s="477"/>
      <c r="P14" s="478"/>
      <c r="Q14" s="475" t="s">
        <v>287</v>
      </c>
      <c r="R14" s="478"/>
    </row>
    <row r="15" spans="1:22" s="475" customFormat="1">
      <c r="A15" s="475">
        <v>80</v>
      </c>
      <c r="B15" s="475">
        <v>86</v>
      </c>
      <c r="C15" s="475" t="s">
        <v>466</v>
      </c>
      <c r="D15" s="475" t="s">
        <v>43</v>
      </c>
      <c r="E15" s="475" t="s">
        <v>143</v>
      </c>
      <c r="F15" s="476" t="s">
        <v>341</v>
      </c>
      <c r="G15" s="476" t="s">
        <v>79</v>
      </c>
      <c r="H15" s="486"/>
      <c r="I15" s="477"/>
      <c r="J15" s="478"/>
      <c r="K15" s="478"/>
      <c r="L15" s="477"/>
      <c r="M15" s="478"/>
      <c r="N15" s="477"/>
      <c r="O15" s="477"/>
      <c r="P15" s="478"/>
      <c r="Q15" s="475" t="s">
        <v>287</v>
      </c>
      <c r="R15" s="478"/>
    </row>
    <row r="16" spans="1:22" s="475" customFormat="1">
      <c r="A16" s="475">
        <v>82</v>
      </c>
      <c r="B16" s="475">
        <v>88</v>
      </c>
      <c r="C16" s="475" t="s">
        <v>467</v>
      </c>
      <c r="D16" s="475" t="s">
        <v>43</v>
      </c>
      <c r="E16" s="475" t="s">
        <v>141</v>
      </c>
      <c r="F16" s="476" t="s">
        <v>484</v>
      </c>
      <c r="G16" s="476" t="s">
        <v>485</v>
      </c>
      <c r="H16" s="486"/>
      <c r="I16" s="477"/>
      <c r="J16" s="478"/>
      <c r="K16" s="478"/>
      <c r="L16" s="477"/>
      <c r="M16" s="478"/>
      <c r="N16" s="477"/>
      <c r="O16" s="477"/>
      <c r="P16" s="478"/>
      <c r="Q16" s="475" t="s">
        <v>287</v>
      </c>
      <c r="R16" s="478"/>
    </row>
    <row r="17" spans="1:18" s="475" customFormat="1">
      <c r="A17" s="475">
        <v>83</v>
      </c>
      <c r="B17" s="475">
        <v>89</v>
      </c>
      <c r="C17" s="475" t="s">
        <v>468</v>
      </c>
      <c r="D17" s="475" t="s">
        <v>43</v>
      </c>
      <c r="E17" s="475" t="s">
        <v>141</v>
      </c>
      <c r="F17" s="476" t="s">
        <v>486</v>
      </c>
      <c r="G17" s="476" t="s">
        <v>488</v>
      </c>
      <c r="H17" s="486"/>
      <c r="I17" s="477"/>
      <c r="J17" s="478"/>
      <c r="K17" s="478"/>
      <c r="L17" s="477"/>
      <c r="M17" s="478"/>
      <c r="N17" s="477"/>
      <c r="O17" s="477"/>
      <c r="P17" s="478"/>
      <c r="Q17" s="475" t="s">
        <v>287</v>
      </c>
      <c r="R17" s="478"/>
    </row>
    <row r="18" spans="1:18">
      <c r="A18" s="13">
        <v>85</v>
      </c>
      <c r="B18" s="13">
        <v>90</v>
      </c>
      <c r="C18" s="13" t="s">
        <v>469</v>
      </c>
      <c r="D18" s="13" t="s">
        <v>622</v>
      </c>
      <c r="E18" s="13" t="s">
        <v>98</v>
      </c>
      <c r="F18" s="36" t="s">
        <v>182</v>
      </c>
      <c r="G18" s="36" t="s">
        <v>79</v>
      </c>
      <c r="H18" s="66">
        <v>0</v>
      </c>
      <c r="I18" s="27"/>
      <c r="J18" s="11"/>
      <c r="K18" s="11"/>
      <c r="L18" s="27"/>
      <c r="M18" s="11"/>
      <c r="N18" s="27"/>
      <c r="O18" s="27"/>
      <c r="P18" s="11"/>
      <c r="Q18" s="13" t="s">
        <v>287</v>
      </c>
      <c r="R18" s="11"/>
    </row>
    <row r="19" spans="1:18">
      <c r="A19" s="13">
        <v>91</v>
      </c>
      <c r="B19" s="13">
        <v>97</v>
      </c>
      <c r="C19" s="13" t="s">
        <v>470</v>
      </c>
      <c r="D19" s="13" t="s">
        <v>622</v>
      </c>
      <c r="E19" s="13" t="s">
        <v>141</v>
      </c>
      <c r="F19" s="36" t="s">
        <v>301</v>
      </c>
      <c r="G19" s="36" t="s">
        <v>302</v>
      </c>
      <c r="H19" s="66">
        <v>0</v>
      </c>
      <c r="I19" s="27"/>
      <c r="J19" s="11"/>
      <c r="K19" s="11"/>
      <c r="L19" s="27"/>
      <c r="M19" s="11"/>
      <c r="N19" s="27"/>
      <c r="O19" s="27"/>
      <c r="P19" s="11"/>
      <c r="Q19" s="13" t="s">
        <v>287</v>
      </c>
      <c r="R19" s="11"/>
    </row>
    <row r="20" spans="1:18" s="475" customFormat="1">
      <c r="A20" s="475">
        <v>102</v>
      </c>
      <c r="B20" s="475">
        <v>107</v>
      </c>
      <c r="C20" s="475" t="s">
        <v>471</v>
      </c>
      <c r="D20" s="475" t="s">
        <v>43</v>
      </c>
      <c r="E20" s="475" t="s">
        <v>141</v>
      </c>
      <c r="F20" s="476" t="s">
        <v>487</v>
      </c>
      <c r="G20" s="476" t="s">
        <v>488</v>
      </c>
      <c r="H20" s="486"/>
      <c r="I20" s="477"/>
      <c r="J20" s="478"/>
      <c r="K20" s="478"/>
      <c r="L20" s="477"/>
      <c r="M20" s="478"/>
      <c r="N20" s="477"/>
      <c r="O20" s="477"/>
      <c r="P20" s="478"/>
      <c r="Q20" s="475" t="s">
        <v>287</v>
      </c>
      <c r="R20" s="478"/>
    </row>
    <row r="21" spans="1:18" s="475" customFormat="1">
      <c r="A21" s="475">
        <v>107</v>
      </c>
      <c r="B21" s="475">
        <v>112</v>
      </c>
      <c r="C21" s="475" t="s">
        <v>472</v>
      </c>
      <c r="D21" s="475" t="s">
        <v>43</v>
      </c>
      <c r="E21" s="475" t="s">
        <v>141</v>
      </c>
      <c r="F21" s="476" t="s">
        <v>489</v>
      </c>
      <c r="G21" s="476" t="s">
        <v>594</v>
      </c>
      <c r="H21" s="486"/>
      <c r="I21" s="477"/>
      <c r="J21" s="478"/>
      <c r="K21" s="478"/>
      <c r="L21" s="477"/>
      <c r="M21" s="478"/>
      <c r="N21" s="477"/>
      <c r="O21" s="477"/>
      <c r="P21" s="478"/>
      <c r="Q21" s="475" t="s">
        <v>287</v>
      </c>
      <c r="R21" s="478"/>
    </row>
    <row r="22" spans="1:18" s="475" customFormat="1">
      <c r="A22" s="475">
        <v>112</v>
      </c>
      <c r="B22" s="475">
        <v>117</v>
      </c>
      <c r="C22" s="475" t="s">
        <v>473</v>
      </c>
      <c r="D22" s="475" t="s">
        <v>43</v>
      </c>
      <c r="E22" s="475" t="s">
        <v>98</v>
      </c>
      <c r="F22" s="476" t="s">
        <v>490</v>
      </c>
      <c r="G22" s="476" t="s">
        <v>79</v>
      </c>
      <c r="H22" s="486"/>
      <c r="I22" s="477"/>
      <c r="J22" s="478"/>
      <c r="K22" s="478"/>
      <c r="L22" s="477"/>
      <c r="M22" s="478"/>
      <c r="N22" s="477"/>
      <c r="O22" s="477"/>
      <c r="P22" s="478"/>
      <c r="Q22" s="475" t="s">
        <v>307</v>
      </c>
      <c r="R22" s="478"/>
    </row>
    <row r="23" spans="1:18" s="475" customFormat="1">
      <c r="A23" s="475">
        <v>115</v>
      </c>
      <c r="B23" s="475">
        <v>121</v>
      </c>
      <c r="C23" s="475" t="s">
        <v>474</v>
      </c>
      <c r="D23" s="475" t="s">
        <v>43</v>
      </c>
      <c r="E23" s="475" t="s">
        <v>141</v>
      </c>
      <c r="F23" s="476" t="s">
        <v>491</v>
      </c>
      <c r="G23" s="476" t="s">
        <v>142</v>
      </c>
      <c r="H23" s="486"/>
      <c r="I23" s="477"/>
      <c r="J23" s="478"/>
      <c r="K23" s="478"/>
      <c r="L23" s="477"/>
      <c r="M23" s="478"/>
      <c r="N23" s="477"/>
      <c r="O23" s="477"/>
      <c r="P23" s="478"/>
      <c r="Q23" s="475" t="s">
        <v>307</v>
      </c>
      <c r="R23" s="478"/>
    </row>
    <row r="24" spans="1:18" s="475" customFormat="1">
      <c r="A24" s="475">
        <v>119</v>
      </c>
      <c r="B24" s="475">
        <v>123</v>
      </c>
      <c r="C24" s="475" t="s">
        <v>475</v>
      </c>
      <c r="D24" s="475" t="s">
        <v>43</v>
      </c>
      <c r="E24" s="475" t="s">
        <v>98</v>
      </c>
      <c r="F24" s="476" t="s">
        <v>318</v>
      </c>
      <c r="G24" s="476" t="s">
        <v>79</v>
      </c>
      <c r="H24" s="486"/>
      <c r="I24" s="477"/>
      <c r="J24" s="478"/>
      <c r="K24" s="478"/>
      <c r="L24" s="477"/>
      <c r="M24" s="478"/>
      <c r="N24" s="477"/>
      <c r="O24" s="477"/>
      <c r="P24" s="478"/>
      <c r="Q24" s="475" t="s">
        <v>307</v>
      </c>
      <c r="R24" s="478"/>
    </row>
    <row r="25" spans="1:18" s="475" customFormat="1">
      <c r="A25" s="475">
        <v>120</v>
      </c>
      <c r="B25" s="475">
        <v>124</v>
      </c>
      <c r="C25" s="475" t="s">
        <v>476</v>
      </c>
      <c r="D25" s="475" t="s">
        <v>43</v>
      </c>
      <c r="E25" s="475" t="s">
        <v>143</v>
      </c>
      <c r="F25" s="476" t="s">
        <v>492</v>
      </c>
      <c r="G25" s="476" t="s">
        <v>79</v>
      </c>
      <c r="H25" s="486"/>
      <c r="I25" s="477"/>
      <c r="J25" s="478"/>
      <c r="K25" s="478"/>
      <c r="L25" s="477"/>
      <c r="M25" s="478"/>
      <c r="N25" s="477"/>
      <c r="O25" s="477"/>
      <c r="P25" s="478"/>
      <c r="Q25" s="475" t="s">
        <v>307</v>
      </c>
      <c r="R25" s="478"/>
    </row>
    <row r="26" spans="1:18" s="475" customFormat="1">
      <c r="A26" s="475">
        <v>132</v>
      </c>
      <c r="B26" s="475">
        <v>135</v>
      </c>
      <c r="C26" s="475" t="s">
        <v>477</v>
      </c>
      <c r="D26" s="475" t="s">
        <v>43</v>
      </c>
      <c r="E26" s="475" t="s">
        <v>141</v>
      </c>
      <c r="F26" s="476" t="s">
        <v>231</v>
      </c>
      <c r="G26" s="476" t="s">
        <v>142</v>
      </c>
      <c r="H26" s="486"/>
      <c r="I26" s="477"/>
      <c r="J26" s="478"/>
      <c r="K26" s="478"/>
      <c r="L26" s="477"/>
      <c r="M26" s="478"/>
      <c r="N26" s="477"/>
      <c r="O26" s="477"/>
      <c r="P26" s="478"/>
      <c r="Q26" s="475" t="s">
        <v>307</v>
      </c>
      <c r="R26" s="478"/>
    </row>
    <row r="27" spans="1:18" s="475" customFormat="1">
      <c r="A27" s="475" t="s">
        <v>147</v>
      </c>
      <c r="B27" s="475" t="s">
        <v>147</v>
      </c>
      <c r="C27" s="475" t="s">
        <v>706</v>
      </c>
      <c r="D27" s="475" t="s">
        <v>43</v>
      </c>
      <c r="E27" s="475" t="s">
        <v>141</v>
      </c>
      <c r="F27" s="476" t="s">
        <v>707</v>
      </c>
      <c r="G27" s="476" t="s">
        <v>142</v>
      </c>
      <c r="H27" s="486"/>
      <c r="I27" s="477"/>
      <c r="J27" s="478"/>
      <c r="K27" s="478"/>
      <c r="L27" s="477"/>
      <c r="M27" s="478"/>
      <c r="N27" s="477"/>
      <c r="O27" s="477"/>
      <c r="P27" s="478"/>
      <c r="Q27" s="475" t="s">
        <v>307</v>
      </c>
      <c r="R27" s="478"/>
    </row>
    <row r="28" spans="1:18" s="475" customFormat="1">
      <c r="A28" s="475" t="s">
        <v>147</v>
      </c>
      <c r="B28" s="475" t="s">
        <v>147</v>
      </c>
      <c r="C28" s="475" t="s">
        <v>711</v>
      </c>
      <c r="D28" s="475" t="s">
        <v>43</v>
      </c>
      <c r="E28" s="475" t="s">
        <v>98</v>
      </c>
      <c r="F28" s="476" t="s">
        <v>182</v>
      </c>
      <c r="G28" s="476" t="s">
        <v>79</v>
      </c>
      <c r="H28" s="486"/>
      <c r="I28" s="477"/>
      <c r="J28" s="478"/>
      <c r="K28" s="478"/>
      <c r="L28" s="477"/>
      <c r="M28" s="478"/>
      <c r="N28" s="477"/>
      <c r="O28" s="477"/>
      <c r="P28" s="478"/>
      <c r="Q28" s="475" t="s">
        <v>287</v>
      </c>
      <c r="R28" s="478"/>
    </row>
    <row r="29" spans="1:18">
      <c r="F29" s="36"/>
      <c r="G29" s="36"/>
      <c r="H29" s="66"/>
      <c r="I29" s="27"/>
      <c r="J29" s="11"/>
      <c r="K29" s="11"/>
      <c r="L29" s="27"/>
      <c r="M29" s="11"/>
      <c r="N29" s="27"/>
      <c r="O29" s="27"/>
      <c r="P29" s="11"/>
      <c r="R29" s="11"/>
    </row>
    <row r="30" spans="1:18">
      <c r="A30" s="43"/>
      <c r="B30" s="43"/>
      <c r="C30" s="43"/>
      <c r="D30" s="43"/>
      <c r="E30" s="1"/>
      <c r="F30" s="13" t="s">
        <v>19</v>
      </c>
      <c r="H30" s="263">
        <f>SUM(H7:H29)</f>
        <v>110000000</v>
      </c>
      <c r="I30" s="263">
        <f>SUM(I7:I29)</f>
        <v>110000000</v>
      </c>
      <c r="J30" s="10"/>
      <c r="K30" s="10"/>
      <c r="L30" s="263">
        <f>SUM(L7:L29)</f>
        <v>110000000</v>
      </c>
      <c r="M30" s="10"/>
      <c r="N30" s="263">
        <f>SUM(N7:N29)</f>
        <v>31298949.600000001</v>
      </c>
      <c r="O30" s="263">
        <f>SUM(O7:O29)</f>
        <v>78701050.400000006</v>
      </c>
    </row>
    <row r="31" spans="1:18" s="1" customFormat="1">
      <c r="A31" s="5"/>
      <c r="B31" s="5"/>
      <c r="C31" s="5"/>
      <c r="D31" s="88"/>
      <c r="F31" s="13"/>
      <c r="H31" s="76"/>
      <c r="J31" s="11"/>
      <c r="K31" s="11"/>
      <c r="L31" s="9"/>
      <c r="M31" s="6"/>
      <c r="Q31" s="13"/>
    </row>
    <row r="32" spans="1:18" s="1" customFormat="1">
      <c r="A32" s="5"/>
      <c r="B32" s="5"/>
      <c r="C32" s="5"/>
      <c r="E32" s="5"/>
      <c r="F32" s="13" t="s">
        <v>43</v>
      </c>
      <c r="G32" s="5"/>
      <c r="H32" s="34">
        <f>H30-I30</f>
        <v>0</v>
      </c>
      <c r="I32" s="9"/>
      <c r="L32" s="9"/>
      <c r="Q32" s="13"/>
    </row>
    <row r="33" spans="1:17" s="1" customFormat="1">
      <c r="A33" s="5"/>
      <c r="B33" s="5"/>
      <c r="C33" s="5"/>
      <c r="E33" s="5"/>
      <c r="G33" s="5"/>
      <c r="H33" s="67"/>
      <c r="I33" s="9"/>
      <c r="K33" s="138"/>
      <c r="L33" s="9"/>
      <c r="M33" s="3"/>
      <c r="N33" s="76"/>
      <c r="Q33" s="13"/>
    </row>
    <row r="34" spans="1:17" s="1" customFormat="1">
      <c r="A34" s="5"/>
      <c r="B34" s="5"/>
      <c r="C34" s="5"/>
      <c r="E34" s="133"/>
      <c r="F34" s="58" t="s">
        <v>10</v>
      </c>
      <c r="G34" s="5"/>
      <c r="H34" s="77">
        <f>E1-I30+O30+G38</f>
        <v>26563164.400000006</v>
      </c>
      <c r="I34" s="293"/>
      <c r="J34" s="138"/>
      <c r="L34" s="9"/>
      <c r="M34" s="3"/>
      <c r="Q34" s="13"/>
    </row>
    <row r="35" spans="1:17">
      <c r="A35" s="43"/>
      <c r="B35" s="43"/>
      <c r="C35" s="43"/>
      <c r="D35" s="1"/>
      <c r="E35" s="1"/>
      <c r="F35" s="1"/>
      <c r="G35" s="1"/>
      <c r="H35" s="9"/>
      <c r="I35" s="34"/>
      <c r="N35" s="414"/>
    </row>
    <row r="36" spans="1:17">
      <c r="A36" s="43"/>
      <c r="B36" s="43"/>
      <c r="C36" s="43"/>
      <c r="D36" s="1"/>
      <c r="E36" s="1"/>
      <c r="F36" s="1"/>
      <c r="G36" s="289"/>
      <c r="H36" s="9"/>
      <c r="I36" s="34"/>
      <c r="K36" s="11"/>
      <c r="L36" s="429"/>
      <c r="N36" s="414"/>
    </row>
    <row r="37" spans="1:17">
      <c r="C37" s="43"/>
      <c r="D37" s="43"/>
      <c r="E37" s="148"/>
      <c r="F37" s="148"/>
      <c r="G37" s="289"/>
      <c r="H37" s="288"/>
      <c r="K37" s="11"/>
      <c r="L37" s="423"/>
      <c r="N37" s="414"/>
    </row>
    <row r="38" spans="1:17">
      <c r="G38" s="301">
        <f>SUM(G37:G37)</f>
        <v>0</v>
      </c>
      <c r="L38" s="414"/>
    </row>
    <row r="39" spans="1:17">
      <c r="H39" s="62"/>
      <c r="I39" s="62"/>
    </row>
    <row r="40" spans="1:17">
      <c r="I40" s="34"/>
    </row>
    <row r="47" spans="1:17">
      <c r="J47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0.42578125" style="13" customWidth="1"/>
    <col min="5" max="5" width="22.42578125" style="13" customWidth="1"/>
    <col min="6" max="6" width="29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2.710937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ROUND(Totals!$H$8*Totals!$P$15, 0)</f>
        <v>30150918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>
        <v>12</v>
      </c>
      <c r="B7" s="481">
        <v>13</v>
      </c>
      <c r="C7" s="481">
        <v>5112</v>
      </c>
      <c r="D7" s="481" t="s">
        <v>632</v>
      </c>
      <c r="E7" s="481" t="s">
        <v>493</v>
      </c>
      <c r="F7" s="482" t="s">
        <v>494</v>
      </c>
      <c r="G7" s="482" t="s">
        <v>495</v>
      </c>
      <c r="H7" s="405">
        <v>25000000</v>
      </c>
      <c r="I7" s="405">
        <f>H7</f>
        <v>25000000</v>
      </c>
      <c r="J7" s="485">
        <v>43840</v>
      </c>
      <c r="K7" s="485">
        <f>J7+35</f>
        <v>43875</v>
      </c>
      <c r="L7" s="405">
        <v>25000000</v>
      </c>
      <c r="M7" s="485">
        <f>J7+180</f>
        <v>44020</v>
      </c>
      <c r="N7" s="405">
        <v>22250000</v>
      </c>
      <c r="O7" s="405">
        <f>L7-N7</f>
        <v>2750000</v>
      </c>
      <c r="P7" s="485">
        <v>44027</v>
      </c>
      <c r="Q7" s="481" t="s">
        <v>220</v>
      </c>
      <c r="R7" s="493" t="s">
        <v>627</v>
      </c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25000000</v>
      </c>
      <c r="I9" s="263">
        <f>SUM(I7:I7)</f>
        <v>25000000</v>
      </c>
      <c r="J9" s="10"/>
      <c r="K9" s="10"/>
      <c r="L9" s="263">
        <f>SUM(L7:L7)</f>
        <v>25000000</v>
      </c>
      <c r="M9" s="10"/>
      <c r="N9" s="263">
        <f>SUM(N7:N7)</f>
        <v>22250000</v>
      </c>
      <c r="O9" s="263">
        <f>SUM(O7:O7)</f>
        <v>2750000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7900918</v>
      </c>
      <c r="I13" s="293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1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5546875" defaultRowHeight="12"/>
  <cols>
    <col min="1" max="1" width="9.5703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42.42578125" style="13" bestFit="1" customWidth="1"/>
    <col min="6" max="6" width="34.85546875" style="13" bestFit="1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51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41.5703125" style="13" bestFit="1" customWidth="1"/>
    <col min="19" max="19" width="12.570312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ROUND(Totals!$H$8*Totals!$P$16, 0)</f>
        <v>64197057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5109</v>
      </c>
      <c r="D7" s="13" t="s">
        <v>632</v>
      </c>
      <c r="E7" s="13" t="s">
        <v>496</v>
      </c>
      <c r="F7" s="36" t="s">
        <v>497</v>
      </c>
      <c r="G7" s="36" t="s">
        <v>81</v>
      </c>
      <c r="H7" s="289">
        <v>4000000</v>
      </c>
      <c r="I7" s="289">
        <v>4000000</v>
      </c>
      <c r="J7" s="11">
        <v>43839</v>
      </c>
      <c r="K7" s="11">
        <f>J7+35</f>
        <v>43874</v>
      </c>
      <c r="L7" s="289">
        <v>4000000</v>
      </c>
      <c r="M7" s="11">
        <f>J7+180</f>
        <v>44019</v>
      </c>
      <c r="N7" s="289">
        <v>0</v>
      </c>
      <c r="O7" s="289">
        <f>L7-N7</f>
        <v>4000000</v>
      </c>
      <c r="P7" s="11">
        <v>44021</v>
      </c>
      <c r="Q7" s="13">
        <v>0</v>
      </c>
      <c r="R7" s="500" t="s">
        <v>626</v>
      </c>
      <c r="S7" s="437" t="s">
        <v>804</v>
      </c>
    </row>
    <row r="8" spans="1:22">
      <c r="A8" s="13">
        <v>101</v>
      </c>
      <c r="B8" s="13">
        <v>50</v>
      </c>
      <c r="C8" s="13" t="s">
        <v>499</v>
      </c>
      <c r="D8" s="13" t="s">
        <v>622</v>
      </c>
      <c r="E8" s="13" t="s">
        <v>308</v>
      </c>
      <c r="F8" s="36" t="s">
        <v>498</v>
      </c>
      <c r="G8" s="36" t="s">
        <v>343</v>
      </c>
      <c r="H8" s="289">
        <v>0</v>
      </c>
      <c r="I8" s="289"/>
      <c r="J8" s="11"/>
      <c r="K8" s="11"/>
      <c r="L8" s="289"/>
      <c r="M8" s="11"/>
      <c r="N8" s="289"/>
      <c r="O8" s="289"/>
      <c r="P8" s="11"/>
      <c r="Q8" s="13" t="s">
        <v>257</v>
      </c>
      <c r="R8" s="93" t="s">
        <v>628</v>
      </c>
    </row>
    <row r="9" spans="1:22" s="481" customFormat="1">
      <c r="A9" s="481" t="s">
        <v>147</v>
      </c>
      <c r="B9" s="481" t="s">
        <v>147</v>
      </c>
      <c r="C9" s="481">
        <v>5160</v>
      </c>
      <c r="D9" s="481" t="s">
        <v>622</v>
      </c>
      <c r="E9" s="481" t="s">
        <v>712</v>
      </c>
      <c r="F9" s="482" t="s">
        <v>713</v>
      </c>
      <c r="G9" s="482" t="s">
        <v>81</v>
      </c>
      <c r="H9" s="405">
        <v>20000000</v>
      </c>
      <c r="I9" s="405">
        <v>20000000</v>
      </c>
      <c r="J9" s="485">
        <v>43889</v>
      </c>
      <c r="K9" s="485">
        <f>J9+35</f>
        <v>43924</v>
      </c>
      <c r="L9" s="405">
        <v>20000000</v>
      </c>
      <c r="M9" s="485">
        <f>J9+180</f>
        <v>44069</v>
      </c>
      <c r="N9" s="405">
        <v>0</v>
      </c>
      <c r="O9" s="405">
        <f>L9-N9</f>
        <v>20000000</v>
      </c>
      <c r="P9" s="485">
        <v>44027</v>
      </c>
      <c r="Q9" s="481" t="s">
        <v>307</v>
      </c>
      <c r="R9" s="504"/>
    </row>
    <row r="10" spans="1:22">
      <c r="F10" s="36"/>
      <c r="G10" s="36"/>
      <c r="H10" s="27"/>
      <c r="I10" s="27"/>
      <c r="J10" s="11"/>
      <c r="K10" s="11"/>
      <c r="L10" s="315"/>
      <c r="M10" s="11"/>
      <c r="N10" s="315"/>
      <c r="O10" s="315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24000000</v>
      </c>
      <c r="I11" s="263">
        <f>SUM(I7:I10)</f>
        <v>24000000</v>
      </c>
      <c r="J11" s="10"/>
      <c r="K11" s="10"/>
      <c r="L11" s="263">
        <f>SUM(L7:L10)</f>
        <v>24000000</v>
      </c>
      <c r="M11" s="10"/>
      <c r="N11" s="263">
        <f>SUM(N7:N10)</f>
        <v>0</v>
      </c>
      <c r="O11" s="263">
        <f>SUM(O7:O10)</f>
        <v>24000000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64197057</v>
      </c>
      <c r="I15" s="293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5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26.42578125" style="13" customWidth="1"/>
    <col min="6" max="6" width="33.285156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ROUND(Totals!$H$8*Totals!$P$17, 0)</f>
        <v>18652010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5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18652010</v>
      </c>
      <c r="I13" s="293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5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08"/>
  <sheetViews>
    <sheetView workbookViewId="0">
      <selection activeCell="F30" sqref="F30"/>
    </sheetView>
  </sheetViews>
  <sheetFormatPr defaultRowHeight="12"/>
  <cols>
    <col min="1" max="1" width="15.140625" bestFit="1" customWidth="1"/>
    <col min="2" max="2" width="13.28515625" customWidth="1"/>
    <col min="3" max="3" width="40" bestFit="1" customWidth="1"/>
    <col min="4" max="4" width="37.140625" bestFit="1" customWidth="1"/>
    <col min="5" max="5" width="12.140625" bestFit="1" customWidth="1"/>
    <col min="6" max="7" width="15.7109375" bestFit="1" customWidth="1"/>
    <col min="8" max="8" width="15.28515625" bestFit="1" customWidth="1"/>
    <col min="9" max="9" width="11.85546875" bestFit="1" customWidth="1"/>
    <col min="10" max="10" width="15.7109375" bestFit="1" customWidth="1"/>
    <col min="11" max="11" width="11.85546875" bestFit="1" customWidth="1"/>
    <col min="12" max="12" width="17.5703125" bestFit="1" customWidth="1"/>
    <col min="13" max="13" width="21.5703125" bestFit="1" customWidth="1"/>
    <col min="14" max="14" width="11" bestFit="1" customWidth="1"/>
    <col min="15" max="16" width="9.140625" customWidth="1"/>
    <col min="17" max="17" width="12.28515625" bestFit="1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390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252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398</v>
      </c>
    </row>
    <row r="5" spans="1:20">
      <c r="A5" s="31" t="s">
        <v>282</v>
      </c>
    </row>
    <row r="6" spans="1:20">
      <c r="A6" s="137"/>
      <c r="B6" s="1"/>
      <c r="C6" s="1"/>
      <c r="D6" s="1"/>
      <c r="E6" s="1"/>
      <c r="F6" s="9"/>
      <c r="H6" s="200"/>
      <c r="K6" s="200"/>
      <c r="O6" s="13"/>
      <c r="P6" s="13"/>
      <c r="Q6" s="11"/>
    </row>
    <row r="7" spans="1:20">
      <c r="A7" s="31"/>
      <c r="H7" s="200"/>
      <c r="K7" s="200"/>
    </row>
    <row r="8" spans="1:20" ht="12.75" customHeight="1">
      <c r="A8" s="31" t="s">
        <v>151</v>
      </c>
      <c r="H8" s="200"/>
      <c r="K8" s="200"/>
    </row>
    <row r="9" spans="1:20">
      <c r="A9" s="137" t="s">
        <v>617</v>
      </c>
      <c r="B9" s="1" t="s">
        <v>43</v>
      </c>
      <c r="C9" s="1" t="s">
        <v>295</v>
      </c>
      <c r="D9" s="1" t="s">
        <v>618</v>
      </c>
      <c r="E9" s="1" t="s">
        <v>619</v>
      </c>
      <c r="F9" s="9">
        <v>35000000</v>
      </c>
      <c r="H9" s="200"/>
      <c r="K9" s="200"/>
    </row>
    <row r="10" spans="1:20" s="1" customFormat="1">
      <c r="A10" s="137" t="s">
        <v>620</v>
      </c>
      <c r="B10" s="1" t="s">
        <v>43</v>
      </c>
      <c r="C10" s="1" t="s">
        <v>141</v>
      </c>
      <c r="D10" s="1" t="s">
        <v>301</v>
      </c>
      <c r="E10" s="1" t="s">
        <v>302</v>
      </c>
      <c r="F10" s="9">
        <v>64819515</v>
      </c>
      <c r="G10" s="9"/>
      <c r="H10" s="3"/>
      <c r="I10" s="3"/>
      <c r="J10" s="9"/>
      <c r="L10" s="9"/>
      <c r="M10" s="9"/>
    </row>
    <row r="11" spans="1:20" s="1" customFormat="1">
      <c r="A11" s="137" t="s">
        <v>703</v>
      </c>
      <c r="B11" s="1" t="s">
        <v>43</v>
      </c>
      <c r="C11" s="1" t="s">
        <v>613</v>
      </c>
      <c r="D11" s="1" t="s">
        <v>705</v>
      </c>
      <c r="E11" s="1" t="s">
        <v>81</v>
      </c>
      <c r="F11" s="9">
        <v>40000000</v>
      </c>
      <c r="G11" s="9"/>
      <c r="H11" s="3"/>
      <c r="I11" s="3"/>
      <c r="J11" s="9"/>
      <c r="L11" s="9"/>
      <c r="M11" s="9"/>
    </row>
    <row r="12" spans="1:20" s="1" customFormat="1">
      <c r="A12" s="137" t="s">
        <v>781</v>
      </c>
      <c r="B12" s="1" t="s">
        <v>43</v>
      </c>
      <c r="C12" s="1" t="s">
        <v>295</v>
      </c>
      <c r="D12" s="1" t="s">
        <v>782</v>
      </c>
      <c r="E12" s="1" t="s">
        <v>444</v>
      </c>
      <c r="F12" s="9">
        <v>22500000</v>
      </c>
      <c r="G12" s="9"/>
      <c r="H12" s="3"/>
      <c r="I12" s="3"/>
      <c r="J12" s="9"/>
      <c r="L12" s="9"/>
      <c r="M12" s="9"/>
    </row>
    <row r="13" spans="1:20" s="1" customFormat="1">
      <c r="A13" s="137" t="s">
        <v>871</v>
      </c>
      <c r="B13" s="1" t="s">
        <v>43</v>
      </c>
      <c r="C13" s="1" t="s">
        <v>98</v>
      </c>
      <c r="D13" s="1" t="s">
        <v>872</v>
      </c>
      <c r="E13" s="1" t="s">
        <v>79</v>
      </c>
      <c r="F13" s="9">
        <v>30000000</v>
      </c>
      <c r="G13" s="9"/>
      <c r="H13" s="3"/>
      <c r="I13" s="3"/>
      <c r="J13" s="9"/>
      <c r="L13" s="9"/>
      <c r="M13" s="9"/>
    </row>
    <row r="14" spans="1:20" s="1" customFormat="1">
      <c r="A14" s="137" t="s">
        <v>893</v>
      </c>
      <c r="B14" s="1" t="s">
        <v>43</v>
      </c>
      <c r="C14" s="1" t="s">
        <v>613</v>
      </c>
      <c r="D14" s="1" t="s">
        <v>614</v>
      </c>
      <c r="E14" s="1" t="s">
        <v>81</v>
      </c>
      <c r="F14" s="9">
        <v>50000000</v>
      </c>
      <c r="G14" s="9"/>
      <c r="H14" s="3"/>
      <c r="I14" s="3"/>
      <c r="J14" s="9"/>
      <c r="L14" s="9"/>
      <c r="M14" s="9"/>
    </row>
    <row r="15" spans="1:20" s="1" customFormat="1">
      <c r="A15" s="137" t="s">
        <v>899</v>
      </c>
      <c r="B15" s="1" t="s">
        <v>43</v>
      </c>
      <c r="C15" s="1" t="s">
        <v>98</v>
      </c>
      <c r="D15" s="1" t="s">
        <v>900</v>
      </c>
      <c r="E15" s="1" t="s">
        <v>79</v>
      </c>
      <c r="F15" s="9">
        <v>39050000</v>
      </c>
      <c r="G15" s="9"/>
      <c r="H15" s="3"/>
      <c r="I15" s="3"/>
      <c r="J15" s="9"/>
      <c r="L15" s="9"/>
      <c r="M15" s="9"/>
    </row>
    <row r="16" spans="1:20" s="1" customFormat="1">
      <c r="A16" s="137" t="s">
        <v>902</v>
      </c>
      <c r="B16" s="1" t="s">
        <v>43</v>
      </c>
      <c r="C16" s="1" t="s">
        <v>613</v>
      </c>
      <c r="D16" s="1" t="s">
        <v>903</v>
      </c>
      <c r="E16" s="1" t="s">
        <v>81</v>
      </c>
      <c r="F16" s="9">
        <v>60000000</v>
      </c>
      <c r="G16" s="9"/>
      <c r="H16" s="3"/>
      <c r="I16" s="3"/>
      <c r="J16" s="9"/>
      <c r="L16" s="9"/>
      <c r="M16" s="9"/>
    </row>
    <row r="17" spans="1:20" s="1" customFormat="1">
      <c r="A17" s="137" t="s">
        <v>904</v>
      </c>
      <c r="B17" s="1" t="s">
        <v>43</v>
      </c>
      <c r="C17" s="1" t="s">
        <v>161</v>
      </c>
      <c r="D17" s="1" t="s">
        <v>905</v>
      </c>
      <c r="E17" s="1" t="s">
        <v>313</v>
      </c>
      <c r="F17" s="9">
        <v>15000000</v>
      </c>
      <c r="G17" s="9"/>
      <c r="H17" s="3"/>
      <c r="I17" s="3"/>
      <c r="J17" s="9"/>
      <c r="L17" s="9"/>
      <c r="M17" s="9"/>
    </row>
    <row r="18" spans="1:20" s="1" customFormat="1">
      <c r="A18" s="137" t="s">
        <v>920</v>
      </c>
      <c r="B18" s="1" t="s">
        <v>43</v>
      </c>
      <c r="C18" s="1" t="s">
        <v>613</v>
      </c>
      <c r="D18" s="1" t="s">
        <v>921</v>
      </c>
      <c r="E18" s="1" t="s">
        <v>81</v>
      </c>
      <c r="F18" s="9">
        <v>5000000</v>
      </c>
      <c r="G18" s="9"/>
      <c r="H18" s="3"/>
      <c r="I18" s="3"/>
      <c r="J18" s="9"/>
      <c r="L18" s="9"/>
      <c r="M18" s="9"/>
    </row>
    <row r="19" spans="1:20" s="1" customFormat="1">
      <c r="A19" s="137"/>
      <c r="F19" s="9"/>
      <c r="G19" s="9"/>
      <c r="H19" s="3"/>
      <c r="I19" s="3"/>
      <c r="J19" s="9"/>
      <c r="L19" s="9"/>
      <c r="M19" s="9"/>
    </row>
    <row r="20" spans="1:20">
      <c r="A20" s="31" t="s">
        <v>91</v>
      </c>
      <c r="D20" s="1"/>
      <c r="H20" s="200"/>
    </row>
    <row r="21" spans="1:20">
      <c r="A21" s="137" t="s">
        <v>610</v>
      </c>
      <c r="B21" s="1" t="s">
        <v>43</v>
      </c>
      <c r="C21" s="1" t="s">
        <v>155</v>
      </c>
      <c r="D21" s="1" t="s">
        <v>611</v>
      </c>
      <c r="E21" s="1" t="s">
        <v>81</v>
      </c>
      <c r="F21" s="9">
        <v>45000000</v>
      </c>
      <c r="H21" s="200"/>
      <c r="K21" s="200"/>
    </row>
    <row r="22" spans="1:20">
      <c r="A22" s="137" t="s">
        <v>612</v>
      </c>
      <c r="B22" s="1" t="s">
        <v>622</v>
      </c>
      <c r="C22" s="1" t="s">
        <v>613</v>
      </c>
      <c r="D22" s="1" t="s">
        <v>614</v>
      </c>
      <c r="E22" s="1" t="s">
        <v>81</v>
      </c>
      <c r="F22" s="9">
        <v>0</v>
      </c>
      <c r="H22" s="200"/>
      <c r="K22" s="200"/>
    </row>
    <row r="23" spans="1:20">
      <c r="A23" s="137" t="s">
        <v>615</v>
      </c>
      <c r="B23" s="1" t="s">
        <v>43</v>
      </c>
      <c r="C23" s="1" t="s">
        <v>155</v>
      </c>
      <c r="D23" s="1" t="s">
        <v>616</v>
      </c>
      <c r="E23" s="1" t="s">
        <v>81</v>
      </c>
      <c r="F23" s="9">
        <v>45000000</v>
      </c>
      <c r="H23" s="200"/>
      <c r="K23" s="200"/>
    </row>
    <row r="24" spans="1:20">
      <c r="A24" s="137" t="s">
        <v>895</v>
      </c>
      <c r="B24" s="1" t="s">
        <v>43</v>
      </c>
      <c r="C24" s="1" t="s">
        <v>155</v>
      </c>
      <c r="D24" s="1" t="s">
        <v>896</v>
      </c>
      <c r="E24" s="1" t="s">
        <v>81</v>
      </c>
      <c r="F24" s="9">
        <v>50000000</v>
      </c>
      <c r="H24" s="200"/>
      <c r="K24" s="200"/>
    </row>
    <row r="25" spans="1:20">
      <c r="A25" s="137" t="s">
        <v>897</v>
      </c>
      <c r="B25" s="1" t="s">
        <v>43</v>
      </c>
      <c r="C25" s="1" t="s">
        <v>155</v>
      </c>
      <c r="D25" s="1" t="s">
        <v>898</v>
      </c>
      <c r="E25" s="1" t="s">
        <v>81</v>
      </c>
      <c r="F25" s="9">
        <v>50000000</v>
      </c>
      <c r="H25" s="200"/>
      <c r="K25" s="200"/>
    </row>
    <row r="26" spans="1:20">
      <c r="A26" s="137"/>
      <c r="B26" s="1"/>
      <c r="C26" s="1"/>
      <c r="D26" s="1"/>
      <c r="E26" s="1"/>
      <c r="F26" s="9"/>
      <c r="H26" s="200"/>
      <c r="K26" s="200"/>
    </row>
    <row r="27" spans="1:20">
      <c r="F27" s="194">
        <f>SUM(F6:F26)</f>
        <v>551369515</v>
      </c>
      <c r="G27" s="194">
        <f>SUM(G6:G26)</f>
        <v>0</v>
      </c>
      <c r="H27" s="133"/>
      <c r="I27" s="152"/>
      <c r="J27" s="194">
        <f>SUM(J6:J26)</f>
        <v>0</v>
      </c>
      <c r="K27" s="133"/>
      <c r="L27" s="194">
        <f t="shared" ref="L27:M27" si="0">SUM(L6:L26)</f>
        <v>0</v>
      </c>
      <c r="M27" s="194">
        <f t="shared" si="0"/>
        <v>0</v>
      </c>
    </row>
    <row r="28" spans="1:20">
      <c r="H28" s="200"/>
      <c r="I28" s="200"/>
    </row>
    <row r="29" spans="1:20" ht="12.75" thickBot="1">
      <c r="G29" s="198"/>
      <c r="H29" s="200"/>
      <c r="I29" s="200"/>
    </row>
    <row r="30" spans="1:20" ht="12.75" thickBot="1">
      <c r="D30" s="196" t="s">
        <v>156</v>
      </c>
      <c r="E30" s="197"/>
      <c r="F30" s="550">
        <f>'Aug 15'!H49</f>
        <v>366417722.87</v>
      </c>
      <c r="H30" s="450"/>
      <c r="I30" s="200"/>
      <c r="T30" s="331"/>
    </row>
    <row r="31" spans="1:20">
      <c r="F31" s="193"/>
      <c r="H31" s="200"/>
      <c r="I31" s="200"/>
    </row>
    <row r="32" spans="1:20" ht="12.75" thickBot="1">
      <c r="F32" s="198"/>
    </row>
    <row r="33" spans="1:17" ht="12.75">
      <c r="A33" s="159"/>
      <c r="B33" s="159" t="s">
        <v>391</v>
      </c>
      <c r="C33" s="131"/>
      <c r="D33" s="131"/>
      <c r="E33" s="131"/>
      <c r="F33" s="181"/>
      <c r="G33" s="181"/>
      <c r="H33" s="181"/>
      <c r="I33" s="181"/>
      <c r="J33" s="181"/>
      <c r="K33" s="181"/>
      <c r="L33" s="181"/>
      <c r="M33" s="181"/>
      <c r="N33" s="281"/>
    </row>
    <row r="34" spans="1:17" ht="12.75">
      <c r="A34" s="153" t="s">
        <v>32</v>
      </c>
      <c r="B34" s="273" t="s">
        <v>37</v>
      </c>
      <c r="C34" s="274" t="s">
        <v>31</v>
      </c>
      <c r="D34" s="282" t="s">
        <v>49</v>
      </c>
      <c r="E34" s="282"/>
      <c r="F34" s="176" t="s">
        <v>84</v>
      </c>
      <c r="G34" s="176" t="s">
        <v>281</v>
      </c>
      <c r="H34" s="276" t="s">
        <v>281</v>
      </c>
      <c r="I34" s="276"/>
      <c r="J34" s="177"/>
      <c r="K34" s="276"/>
      <c r="L34" s="176" t="s">
        <v>88</v>
      </c>
      <c r="M34" s="277" t="s">
        <v>89</v>
      </c>
      <c r="N34" s="383" t="s">
        <v>22</v>
      </c>
    </row>
    <row r="35" spans="1:17" ht="12.75">
      <c r="A35" s="153" t="s">
        <v>48</v>
      </c>
      <c r="B35" s="279"/>
      <c r="C35" s="274"/>
      <c r="D35" s="282"/>
      <c r="E35" s="282"/>
      <c r="F35" s="176" t="s">
        <v>55</v>
      </c>
      <c r="G35" s="176" t="s">
        <v>55</v>
      </c>
      <c r="H35" s="276" t="s">
        <v>9</v>
      </c>
      <c r="I35" s="276"/>
      <c r="J35" s="177"/>
      <c r="K35" s="276" t="s">
        <v>18</v>
      </c>
      <c r="L35" s="176" t="s">
        <v>55</v>
      </c>
      <c r="M35" s="277" t="s">
        <v>90</v>
      </c>
      <c r="N35" s="383" t="s">
        <v>5</v>
      </c>
    </row>
    <row r="36" spans="1:17" ht="13.5" thickBot="1">
      <c r="A36" s="154" t="s">
        <v>17</v>
      </c>
      <c r="B36" s="155"/>
      <c r="C36" s="156"/>
      <c r="D36" s="158"/>
      <c r="E36" s="158"/>
      <c r="F36" s="178"/>
      <c r="G36" s="178"/>
      <c r="H36" s="179"/>
      <c r="I36" s="179"/>
      <c r="J36" s="182"/>
      <c r="K36" s="179"/>
      <c r="L36" s="178"/>
      <c r="M36" s="178"/>
      <c r="N36" s="384" t="s">
        <v>9</v>
      </c>
    </row>
    <row r="37" spans="1:17" s="1" customFormat="1">
      <c r="A37" s="137"/>
      <c r="F37" s="9"/>
      <c r="G37" s="9"/>
      <c r="H37" s="3"/>
      <c r="J37" s="9"/>
      <c r="L37" s="9"/>
      <c r="M37" s="9"/>
      <c r="O37" s="13"/>
      <c r="P37" s="13"/>
      <c r="Q37" s="11"/>
    </row>
    <row r="38" spans="1:17" ht="12.75" thickBot="1"/>
    <row r="39" spans="1:17" ht="12.75" thickBot="1">
      <c r="D39" s="196" t="s">
        <v>280</v>
      </c>
      <c r="E39" s="197"/>
      <c r="F39" s="199"/>
    </row>
    <row r="40" spans="1:17">
      <c r="F40" s="330"/>
    </row>
    <row r="41" spans="1:17" ht="12.75" thickBot="1"/>
    <row r="42" spans="1:17" ht="12.75">
      <c r="A42" s="159"/>
      <c r="B42" s="159" t="s">
        <v>392</v>
      </c>
      <c r="C42" s="131"/>
      <c r="D42" s="131"/>
      <c r="E42" s="131"/>
      <c r="F42" s="181"/>
      <c r="G42" s="181"/>
      <c r="H42" s="181"/>
      <c r="I42" s="181"/>
      <c r="J42" s="181"/>
      <c r="K42" s="181"/>
      <c r="L42" s="181"/>
      <c r="M42" s="181"/>
      <c r="N42" s="281"/>
    </row>
    <row r="43" spans="1:17" ht="12.75">
      <c r="A43" s="153" t="s">
        <v>32</v>
      </c>
      <c r="B43" s="273" t="s">
        <v>37</v>
      </c>
      <c r="C43" s="274" t="s">
        <v>31</v>
      </c>
      <c r="D43" s="282" t="s">
        <v>49</v>
      </c>
      <c r="E43" s="282" t="s">
        <v>45</v>
      </c>
      <c r="F43" s="176" t="s">
        <v>84</v>
      </c>
      <c r="G43" s="176" t="s">
        <v>54</v>
      </c>
      <c r="H43" s="276"/>
      <c r="I43" s="276" t="s">
        <v>34</v>
      </c>
      <c r="J43" s="177" t="s">
        <v>87</v>
      </c>
      <c r="K43" s="276"/>
      <c r="L43" s="176" t="s">
        <v>92</v>
      </c>
      <c r="M43" s="277" t="s">
        <v>89</v>
      </c>
      <c r="N43" s="278" t="s">
        <v>22</v>
      </c>
    </row>
    <row r="44" spans="1:17" ht="12.75">
      <c r="A44" s="153" t="s">
        <v>48</v>
      </c>
      <c r="B44" s="279"/>
      <c r="C44" s="274"/>
      <c r="D44" s="282"/>
      <c r="E44" s="282"/>
      <c r="F44" s="176" t="s">
        <v>55</v>
      </c>
      <c r="G44" s="176" t="s">
        <v>55</v>
      </c>
      <c r="H44" s="276" t="s">
        <v>9</v>
      </c>
      <c r="I44" s="276" t="s">
        <v>18</v>
      </c>
      <c r="J44" s="177" t="s">
        <v>55</v>
      </c>
      <c r="K44" s="276" t="s">
        <v>18</v>
      </c>
      <c r="L44" s="176" t="s">
        <v>55</v>
      </c>
      <c r="M44" s="277" t="s">
        <v>90</v>
      </c>
      <c r="N44" s="278" t="s">
        <v>5</v>
      </c>
    </row>
    <row r="45" spans="1:17" ht="13.5" thickBot="1">
      <c r="A45" s="154" t="s">
        <v>17</v>
      </c>
      <c r="B45" s="155"/>
      <c r="C45" s="156"/>
      <c r="D45" s="158"/>
      <c r="E45" s="158"/>
      <c r="F45" s="178"/>
      <c r="G45" s="178"/>
      <c r="H45" s="179"/>
      <c r="I45" s="179"/>
      <c r="J45" s="182"/>
      <c r="K45" s="179"/>
      <c r="L45" s="178"/>
      <c r="M45" s="183" t="s">
        <v>93</v>
      </c>
      <c r="N45" s="280" t="s">
        <v>9</v>
      </c>
    </row>
    <row r="46" spans="1:17">
      <c r="A46" s="162" t="s">
        <v>56</v>
      </c>
    </row>
    <row r="47" spans="1:17" s="186" customFormat="1">
      <c r="A47" s="5">
        <v>5213</v>
      </c>
      <c r="B47" s="5" t="s">
        <v>77</v>
      </c>
      <c r="C47" s="5" t="s">
        <v>835</v>
      </c>
      <c r="D47" s="26" t="s">
        <v>836</v>
      </c>
      <c r="E47" s="26" t="s">
        <v>82</v>
      </c>
      <c r="F47" s="357">
        <v>28000000</v>
      </c>
      <c r="G47" s="352">
        <f t="shared" ref="G47:G62" si="1">F47</f>
        <v>28000000</v>
      </c>
      <c r="H47" s="6">
        <v>44048</v>
      </c>
      <c r="I47" s="6">
        <f t="shared" ref="I47:I63" si="2">H47+35</f>
        <v>44083</v>
      </c>
      <c r="J47" s="352">
        <v>28000000</v>
      </c>
      <c r="K47" s="6">
        <f t="shared" ref="K47:K63" si="3">H47+210</f>
        <v>44258</v>
      </c>
      <c r="L47" s="352">
        <v>0</v>
      </c>
      <c r="M47" s="352">
        <f>J47-L47</f>
        <v>28000000</v>
      </c>
      <c r="N47" s="184">
        <v>44175</v>
      </c>
    </row>
    <row r="48" spans="1:17" s="186" customFormat="1">
      <c r="A48" s="5">
        <v>5214</v>
      </c>
      <c r="B48" s="5" t="s">
        <v>77</v>
      </c>
      <c r="C48" s="26" t="s">
        <v>367</v>
      </c>
      <c r="D48" s="26" t="s">
        <v>355</v>
      </c>
      <c r="E48" s="26" t="s">
        <v>266</v>
      </c>
      <c r="F48" s="515">
        <v>40000000</v>
      </c>
      <c r="G48" s="515">
        <f t="shared" si="1"/>
        <v>40000000</v>
      </c>
      <c r="H48" s="6">
        <v>44048</v>
      </c>
      <c r="I48" s="6">
        <f t="shared" si="2"/>
        <v>44083</v>
      </c>
      <c r="J48" s="515">
        <v>40000000</v>
      </c>
      <c r="K48" s="6">
        <f t="shared" si="3"/>
        <v>44258</v>
      </c>
      <c r="L48" s="352">
        <v>0</v>
      </c>
      <c r="M48" s="352">
        <f>J48-L48</f>
        <v>40000000</v>
      </c>
      <c r="N48" s="184">
        <v>44183</v>
      </c>
    </row>
    <row r="49" spans="1:14" s="186" customFormat="1">
      <c r="A49" s="5">
        <v>5216</v>
      </c>
      <c r="B49" s="5" t="s">
        <v>77</v>
      </c>
      <c r="C49" s="26" t="s">
        <v>76</v>
      </c>
      <c r="D49" s="26" t="s">
        <v>645</v>
      </c>
      <c r="E49" s="26" t="s">
        <v>154</v>
      </c>
      <c r="F49" s="515">
        <v>409970085</v>
      </c>
      <c r="G49" s="515">
        <f t="shared" si="1"/>
        <v>409970085</v>
      </c>
      <c r="H49" s="6">
        <v>44048</v>
      </c>
      <c r="I49" s="6">
        <f t="shared" si="2"/>
        <v>44083</v>
      </c>
      <c r="J49" s="515">
        <v>409970085</v>
      </c>
      <c r="K49" s="6">
        <f t="shared" si="3"/>
        <v>44258</v>
      </c>
      <c r="L49" s="352">
        <v>0</v>
      </c>
      <c r="M49" s="352">
        <f>J49-L49</f>
        <v>409970085</v>
      </c>
      <c r="N49" s="184">
        <v>44183</v>
      </c>
    </row>
    <row r="50" spans="1:14" s="186" customFormat="1">
      <c r="A50" s="5">
        <v>5217</v>
      </c>
      <c r="B50" s="5" t="s">
        <v>77</v>
      </c>
      <c r="C50" s="5" t="s">
        <v>152</v>
      </c>
      <c r="D50" s="26" t="s">
        <v>842</v>
      </c>
      <c r="E50" s="26" t="s">
        <v>154</v>
      </c>
      <c r="F50" s="357">
        <v>122966432</v>
      </c>
      <c r="G50" s="515">
        <f t="shared" si="1"/>
        <v>122966432</v>
      </c>
      <c r="H50" s="6">
        <v>44048</v>
      </c>
      <c r="I50" s="6">
        <f t="shared" si="2"/>
        <v>44083</v>
      </c>
      <c r="J50" s="515">
        <v>122966432</v>
      </c>
      <c r="K50" s="6">
        <f t="shared" si="3"/>
        <v>44258</v>
      </c>
      <c r="L50" s="352">
        <v>0</v>
      </c>
      <c r="M50" s="352">
        <f>J50-L50</f>
        <v>122966432</v>
      </c>
      <c r="N50" s="184">
        <v>44182</v>
      </c>
    </row>
    <row r="51" spans="1:14" s="186" customFormat="1">
      <c r="A51" s="5">
        <v>5218</v>
      </c>
      <c r="B51" s="5" t="s">
        <v>77</v>
      </c>
      <c r="C51" s="5" t="s">
        <v>366</v>
      </c>
      <c r="D51" s="26" t="s">
        <v>843</v>
      </c>
      <c r="E51" s="26" t="s">
        <v>261</v>
      </c>
      <c r="F51" s="357">
        <v>64819515</v>
      </c>
      <c r="G51" s="515">
        <f t="shared" si="1"/>
        <v>64819515</v>
      </c>
      <c r="H51" s="6">
        <v>44048</v>
      </c>
      <c r="I51" s="6">
        <f t="shared" si="2"/>
        <v>44083</v>
      </c>
      <c r="J51" s="515">
        <v>64819515</v>
      </c>
      <c r="K51" s="6">
        <f t="shared" si="3"/>
        <v>44258</v>
      </c>
      <c r="L51" s="352">
        <v>0</v>
      </c>
      <c r="M51" s="352">
        <f>J51-L51</f>
        <v>64819515</v>
      </c>
      <c r="N51" s="184">
        <v>44183</v>
      </c>
    </row>
    <row r="52" spans="1:14" s="186" customFormat="1">
      <c r="A52" s="5">
        <v>5219</v>
      </c>
      <c r="B52" s="5" t="s">
        <v>77</v>
      </c>
      <c r="C52" s="5" t="s">
        <v>371</v>
      </c>
      <c r="D52" s="26" t="s">
        <v>843</v>
      </c>
      <c r="E52" s="26" t="s">
        <v>359</v>
      </c>
      <c r="F52" s="357">
        <v>10000000</v>
      </c>
      <c r="G52" s="515">
        <f t="shared" si="1"/>
        <v>10000000</v>
      </c>
      <c r="H52" s="6">
        <v>44048</v>
      </c>
      <c r="I52" s="6">
        <f t="shared" si="2"/>
        <v>44083</v>
      </c>
      <c r="J52" s="515">
        <v>10000000</v>
      </c>
      <c r="K52" s="6">
        <f t="shared" si="3"/>
        <v>44258</v>
      </c>
      <c r="L52" s="352">
        <v>0</v>
      </c>
      <c r="M52" s="352">
        <f>J52-L52</f>
        <v>10000000</v>
      </c>
      <c r="N52" s="184">
        <v>44183</v>
      </c>
    </row>
    <row r="53" spans="1:14" s="186" customFormat="1">
      <c r="A53" s="5">
        <v>5220</v>
      </c>
      <c r="B53" s="5" t="s">
        <v>77</v>
      </c>
      <c r="C53" s="5" t="s">
        <v>363</v>
      </c>
      <c r="D53" s="26" t="s">
        <v>843</v>
      </c>
      <c r="E53" s="26" t="s">
        <v>361</v>
      </c>
      <c r="F53" s="357">
        <v>20000000</v>
      </c>
      <c r="G53" s="515">
        <f t="shared" si="1"/>
        <v>20000000</v>
      </c>
      <c r="H53" s="6">
        <v>44048</v>
      </c>
      <c r="I53" s="6">
        <f t="shared" si="2"/>
        <v>44083</v>
      </c>
      <c r="J53" s="515">
        <v>20000000</v>
      </c>
      <c r="K53" s="6">
        <f t="shared" si="3"/>
        <v>44258</v>
      </c>
      <c r="L53" s="352">
        <v>0</v>
      </c>
      <c r="M53" s="352">
        <f>J53-L53</f>
        <v>20000000</v>
      </c>
      <c r="N53" s="184">
        <v>44183</v>
      </c>
    </row>
    <row r="54" spans="1:14" s="186" customFormat="1">
      <c r="A54" s="5">
        <v>5221</v>
      </c>
      <c r="B54" s="5" t="s">
        <v>77</v>
      </c>
      <c r="C54" s="5" t="s">
        <v>365</v>
      </c>
      <c r="D54" s="26" t="s">
        <v>843</v>
      </c>
      <c r="E54" s="26" t="s">
        <v>176</v>
      </c>
      <c r="F54" s="357">
        <v>6000000</v>
      </c>
      <c r="G54" s="515">
        <f t="shared" si="1"/>
        <v>6000000</v>
      </c>
      <c r="H54" s="6">
        <v>44048</v>
      </c>
      <c r="I54" s="6">
        <f t="shared" si="2"/>
        <v>44083</v>
      </c>
      <c r="J54" s="515">
        <v>6000000</v>
      </c>
      <c r="K54" s="6">
        <f t="shared" si="3"/>
        <v>44258</v>
      </c>
      <c r="L54" s="352">
        <v>0</v>
      </c>
      <c r="M54" s="352">
        <f>J54-L54</f>
        <v>6000000</v>
      </c>
      <c r="N54" s="184">
        <v>44183</v>
      </c>
    </row>
    <row r="55" spans="1:14" s="186" customFormat="1">
      <c r="A55" s="5">
        <v>5222</v>
      </c>
      <c r="B55" s="5" t="s">
        <v>77</v>
      </c>
      <c r="C55" s="5" t="s">
        <v>364</v>
      </c>
      <c r="D55" s="26" t="s">
        <v>843</v>
      </c>
      <c r="E55" s="26" t="s">
        <v>354</v>
      </c>
      <c r="F55" s="357">
        <v>30000000</v>
      </c>
      <c r="G55" s="515">
        <f t="shared" si="1"/>
        <v>30000000</v>
      </c>
      <c r="H55" s="6">
        <v>44048</v>
      </c>
      <c r="I55" s="6">
        <f t="shared" si="2"/>
        <v>44083</v>
      </c>
      <c r="J55" s="515">
        <v>30000000</v>
      </c>
      <c r="K55" s="6">
        <f t="shared" si="3"/>
        <v>44258</v>
      </c>
      <c r="L55" s="352">
        <v>0</v>
      </c>
      <c r="M55" s="352">
        <f>J55-L55</f>
        <v>30000000</v>
      </c>
      <c r="N55" s="184">
        <v>44183</v>
      </c>
    </row>
    <row r="56" spans="1:14" s="186" customFormat="1">
      <c r="A56" s="5">
        <v>5223</v>
      </c>
      <c r="B56" s="5" t="s">
        <v>77</v>
      </c>
      <c r="C56" s="5" t="s">
        <v>368</v>
      </c>
      <c r="D56" s="26" t="s">
        <v>843</v>
      </c>
      <c r="E56" s="26" t="s">
        <v>845</v>
      </c>
      <c r="F56" s="357">
        <v>35000000</v>
      </c>
      <c r="G56" s="515">
        <f t="shared" si="1"/>
        <v>35000000</v>
      </c>
      <c r="H56" s="6">
        <v>44048</v>
      </c>
      <c r="I56" s="6">
        <f t="shared" si="2"/>
        <v>44083</v>
      </c>
      <c r="J56" s="515">
        <v>35000000</v>
      </c>
      <c r="K56" s="6">
        <f t="shared" si="3"/>
        <v>44258</v>
      </c>
      <c r="L56" s="352">
        <v>0</v>
      </c>
      <c r="M56" s="352">
        <f>J56-L56</f>
        <v>35000000</v>
      </c>
      <c r="N56" s="184">
        <v>44183</v>
      </c>
    </row>
    <row r="57" spans="1:14" s="186" customFormat="1">
      <c r="A57" s="5">
        <v>5224</v>
      </c>
      <c r="B57" s="5" t="s">
        <v>77</v>
      </c>
      <c r="C57" s="5" t="s">
        <v>384</v>
      </c>
      <c r="D57" s="26" t="s">
        <v>843</v>
      </c>
      <c r="E57" s="26" t="s">
        <v>78</v>
      </c>
      <c r="F57" s="357">
        <v>64819515</v>
      </c>
      <c r="G57" s="515">
        <f t="shared" si="1"/>
        <v>64819515</v>
      </c>
      <c r="H57" s="6">
        <v>44048</v>
      </c>
      <c r="I57" s="6">
        <f t="shared" si="2"/>
        <v>44083</v>
      </c>
      <c r="J57" s="515">
        <f>G57</f>
        <v>64819515</v>
      </c>
      <c r="K57" s="6">
        <f t="shared" si="3"/>
        <v>44258</v>
      </c>
      <c r="L57" s="352">
        <v>0</v>
      </c>
      <c r="M57" s="352">
        <f>J57-L57</f>
        <v>64819515</v>
      </c>
      <c r="N57" s="184">
        <v>44183</v>
      </c>
    </row>
    <row r="58" spans="1:14" s="186" customFormat="1">
      <c r="A58" s="5">
        <v>5225</v>
      </c>
      <c r="B58" s="5" t="s">
        <v>77</v>
      </c>
      <c r="C58" s="5" t="s">
        <v>295</v>
      </c>
      <c r="D58" s="26" t="s">
        <v>846</v>
      </c>
      <c r="E58" s="26" t="s">
        <v>600</v>
      </c>
      <c r="F58" s="357">
        <v>30000000</v>
      </c>
      <c r="G58" s="515">
        <f t="shared" si="1"/>
        <v>30000000</v>
      </c>
      <c r="H58" s="6">
        <v>44048</v>
      </c>
      <c r="I58" s="6">
        <f t="shared" si="2"/>
        <v>44083</v>
      </c>
      <c r="J58" s="515">
        <v>30000000</v>
      </c>
      <c r="K58" s="6">
        <f t="shared" si="3"/>
        <v>44258</v>
      </c>
      <c r="L58" s="352">
        <v>0</v>
      </c>
      <c r="M58" s="352">
        <f>J58-L58</f>
        <v>30000000</v>
      </c>
      <c r="N58" s="184">
        <v>44181</v>
      </c>
    </row>
    <row r="59" spans="1:14" s="186" customFormat="1">
      <c r="A59" s="5">
        <v>5226</v>
      </c>
      <c r="B59" s="5" t="s">
        <v>77</v>
      </c>
      <c r="C59" s="5" t="s">
        <v>141</v>
      </c>
      <c r="D59" s="26" t="s">
        <v>846</v>
      </c>
      <c r="E59" s="26" t="s">
        <v>847</v>
      </c>
      <c r="F59" s="357">
        <v>27500000</v>
      </c>
      <c r="G59" s="515">
        <f t="shared" si="1"/>
        <v>27500000</v>
      </c>
      <c r="H59" s="6">
        <v>44048</v>
      </c>
      <c r="I59" s="6">
        <f t="shared" si="2"/>
        <v>44083</v>
      </c>
      <c r="J59" s="515">
        <v>27500000</v>
      </c>
      <c r="K59" s="6">
        <f t="shared" si="3"/>
        <v>44258</v>
      </c>
      <c r="L59" s="352">
        <v>0</v>
      </c>
      <c r="M59" s="352">
        <f>J59-L59</f>
        <v>27500000</v>
      </c>
      <c r="N59" s="184">
        <v>44181</v>
      </c>
    </row>
    <row r="60" spans="1:14" s="186" customFormat="1">
      <c r="A60" s="5">
        <v>5227</v>
      </c>
      <c r="B60" s="5" t="s">
        <v>77</v>
      </c>
      <c r="C60" s="26" t="s">
        <v>380</v>
      </c>
      <c r="D60" s="26" t="s">
        <v>848</v>
      </c>
      <c r="E60" s="26" t="s">
        <v>847</v>
      </c>
      <c r="F60" s="515">
        <v>37319515</v>
      </c>
      <c r="G60" s="515">
        <f t="shared" si="1"/>
        <v>37319515</v>
      </c>
      <c r="H60" s="6">
        <v>44048</v>
      </c>
      <c r="I60" s="6">
        <f t="shared" si="2"/>
        <v>44083</v>
      </c>
      <c r="J60" s="515">
        <v>37319515</v>
      </c>
      <c r="K60" s="6">
        <f t="shared" si="3"/>
        <v>44258</v>
      </c>
      <c r="L60" s="352">
        <v>0</v>
      </c>
      <c r="M60" s="352">
        <f>J60-L60</f>
        <v>37319515</v>
      </c>
      <c r="N60" s="184">
        <v>44183</v>
      </c>
    </row>
    <row r="61" spans="1:14" s="186" customFormat="1">
      <c r="A61" s="5">
        <v>5228</v>
      </c>
      <c r="B61" s="5" t="s">
        <v>77</v>
      </c>
      <c r="C61" s="26" t="s">
        <v>906</v>
      </c>
      <c r="D61" s="26" t="s">
        <v>848</v>
      </c>
      <c r="E61" s="26" t="s">
        <v>173</v>
      </c>
      <c r="F61" s="515">
        <v>4000000</v>
      </c>
      <c r="G61" s="515">
        <f t="shared" si="1"/>
        <v>4000000</v>
      </c>
      <c r="H61" s="6">
        <v>44048</v>
      </c>
      <c r="I61" s="6">
        <f t="shared" si="2"/>
        <v>44083</v>
      </c>
      <c r="J61" s="515">
        <v>4000000</v>
      </c>
      <c r="K61" s="6">
        <f t="shared" si="3"/>
        <v>44258</v>
      </c>
      <c r="L61" s="352">
        <v>0</v>
      </c>
      <c r="M61" s="352">
        <f>J61-L61</f>
        <v>4000000</v>
      </c>
      <c r="N61" s="184">
        <v>44183</v>
      </c>
    </row>
    <row r="62" spans="1:14" s="186" customFormat="1">
      <c r="A62" s="5">
        <v>5229</v>
      </c>
      <c r="B62" s="5" t="s">
        <v>77</v>
      </c>
      <c r="C62" s="26" t="s">
        <v>362</v>
      </c>
      <c r="D62" s="26" t="s">
        <v>849</v>
      </c>
      <c r="E62" s="26" t="s">
        <v>168</v>
      </c>
      <c r="F62" s="515">
        <v>15000000</v>
      </c>
      <c r="G62" s="515">
        <f t="shared" si="1"/>
        <v>15000000</v>
      </c>
      <c r="H62" s="6">
        <v>44048</v>
      </c>
      <c r="I62" s="6">
        <f t="shared" si="2"/>
        <v>44083</v>
      </c>
      <c r="J62" s="515">
        <v>15000000</v>
      </c>
      <c r="K62" s="6">
        <f t="shared" si="3"/>
        <v>44258</v>
      </c>
      <c r="L62" s="352">
        <v>0</v>
      </c>
      <c r="M62" s="352">
        <f>J62-L62</f>
        <v>15000000</v>
      </c>
      <c r="N62" s="184">
        <v>44183</v>
      </c>
    </row>
    <row r="63" spans="1:14" s="186" customFormat="1">
      <c r="A63" s="5">
        <v>5232</v>
      </c>
      <c r="B63" s="5" t="s">
        <v>77</v>
      </c>
      <c r="C63" s="26" t="s">
        <v>152</v>
      </c>
      <c r="D63" s="26" t="s">
        <v>842</v>
      </c>
      <c r="E63" s="26" t="s">
        <v>154</v>
      </c>
      <c r="F63" s="515">
        <v>118111220</v>
      </c>
      <c r="G63" s="515">
        <f>F63</f>
        <v>118111220</v>
      </c>
      <c r="H63" s="6">
        <v>44050</v>
      </c>
      <c r="I63" s="6">
        <f t="shared" si="2"/>
        <v>44085</v>
      </c>
      <c r="J63" s="515">
        <v>118111220</v>
      </c>
      <c r="K63" s="6">
        <f t="shared" si="3"/>
        <v>44260</v>
      </c>
      <c r="L63" s="352">
        <v>0</v>
      </c>
      <c r="M63" s="352">
        <f>J63-L63</f>
        <v>118111220</v>
      </c>
      <c r="N63" s="184">
        <v>44182</v>
      </c>
    </row>
    <row r="64" spans="1:14" s="186" customFormat="1">
      <c r="A64" s="5">
        <v>5267</v>
      </c>
      <c r="B64" s="5" t="s">
        <v>77</v>
      </c>
      <c r="C64" s="26" t="s">
        <v>76</v>
      </c>
      <c r="D64" s="26" t="s">
        <v>269</v>
      </c>
      <c r="E64" s="26" t="s">
        <v>154</v>
      </c>
      <c r="F64" s="515">
        <v>162000000</v>
      </c>
      <c r="G64" s="357">
        <v>162000000</v>
      </c>
      <c r="H64" s="535">
        <v>44148</v>
      </c>
      <c r="I64" s="6">
        <f>H64+35</f>
        <v>44183</v>
      </c>
      <c r="J64" s="357">
        <v>162000000</v>
      </c>
      <c r="K64" s="535">
        <f>H64+210</f>
        <v>44358</v>
      </c>
      <c r="L64" s="352">
        <v>0</v>
      </c>
      <c r="M64" s="352">
        <f>J64-L64</f>
        <v>162000000</v>
      </c>
      <c r="N64" s="184">
        <v>44183</v>
      </c>
    </row>
    <row r="65" spans="1:20">
      <c r="A65" s="13"/>
      <c r="B65" s="13"/>
      <c r="C65" s="13"/>
      <c r="D65" s="13"/>
      <c r="E65" s="13"/>
      <c r="F65" s="289"/>
      <c r="G65" s="185"/>
      <c r="H65" s="185"/>
      <c r="I65" s="185"/>
      <c r="J65" s="185"/>
      <c r="K65" s="185"/>
      <c r="M65" s="204"/>
      <c r="N65" s="152"/>
    </row>
    <row r="66" spans="1:20">
      <c r="F66" s="185"/>
      <c r="G66" s="185"/>
      <c r="H66" s="185"/>
      <c r="I66" s="185"/>
      <c r="J66" s="194">
        <f>SUM(J47:J65)</f>
        <v>1225506282</v>
      </c>
      <c r="K66" s="433"/>
      <c r="L66" s="194">
        <f t="shared" ref="L66:M66" si="4">SUM(L47:L65)</f>
        <v>0</v>
      </c>
      <c r="M66" s="194">
        <f t="shared" si="4"/>
        <v>1225506282</v>
      </c>
      <c r="N66" s="152"/>
      <c r="T66" s="331">
        <f>SUM(T65:T65)</f>
        <v>0</v>
      </c>
    </row>
    <row r="67" spans="1:20" ht="12.75" thickBot="1">
      <c r="F67" s="185"/>
      <c r="G67" s="185"/>
      <c r="H67" s="185"/>
      <c r="I67" s="185"/>
      <c r="J67" s="185"/>
      <c r="K67" s="185"/>
      <c r="N67" s="152"/>
    </row>
    <row r="68" spans="1:20">
      <c r="A68" s="169" t="s">
        <v>94</v>
      </c>
      <c r="F68" s="185"/>
      <c r="G68" s="188"/>
      <c r="H68" s="152"/>
      <c r="I68" s="185"/>
      <c r="J68" s="185"/>
      <c r="K68" s="291"/>
      <c r="N68" s="152"/>
    </row>
    <row r="69" spans="1:20" s="186" customFormat="1">
      <c r="A69" s="5">
        <v>5203</v>
      </c>
      <c r="B69" s="5" t="s">
        <v>77</v>
      </c>
      <c r="C69" s="5" t="s">
        <v>608</v>
      </c>
      <c r="D69" s="26" t="s">
        <v>609</v>
      </c>
      <c r="E69" s="26" t="s">
        <v>80</v>
      </c>
      <c r="F69" s="357">
        <v>50000000</v>
      </c>
      <c r="G69" s="352">
        <v>50000000</v>
      </c>
      <c r="H69" s="6">
        <v>44028</v>
      </c>
      <c r="I69" s="6">
        <f>H69+35</f>
        <v>44063</v>
      </c>
      <c r="J69" s="352">
        <v>50000000</v>
      </c>
      <c r="K69" s="6">
        <f>H69+180</f>
        <v>44208</v>
      </c>
      <c r="L69" s="352">
        <v>0</v>
      </c>
      <c r="M69" s="352">
        <f>J69-L69</f>
        <v>50000000</v>
      </c>
      <c r="N69" s="184">
        <v>44181</v>
      </c>
    </row>
    <row r="70" spans="1:20" s="186" customFormat="1">
      <c r="A70" s="5">
        <v>5204</v>
      </c>
      <c r="B70" s="5" t="s">
        <v>77</v>
      </c>
      <c r="C70" s="5" t="s">
        <v>76</v>
      </c>
      <c r="D70" s="5" t="s">
        <v>808</v>
      </c>
      <c r="E70" s="5" t="s">
        <v>343</v>
      </c>
      <c r="F70" s="352">
        <v>35000000</v>
      </c>
      <c r="G70" s="352">
        <v>35000000</v>
      </c>
      <c r="H70" s="6">
        <v>44028</v>
      </c>
      <c r="I70" s="6">
        <f t="shared" ref="I70" si="5">H70+35</f>
        <v>44063</v>
      </c>
      <c r="J70" s="352">
        <v>35000000</v>
      </c>
      <c r="K70" s="6">
        <f t="shared" ref="K70" si="6">H70+180</f>
        <v>44208</v>
      </c>
      <c r="L70" s="352">
        <v>0</v>
      </c>
      <c r="M70" s="352">
        <f>J70-L70</f>
        <v>35000000</v>
      </c>
      <c r="N70" s="184">
        <v>44183</v>
      </c>
    </row>
    <row r="71" spans="1:20" s="186" customFormat="1">
      <c r="A71" s="5">
        <v>5208</v>
      </c>
      <c r="B71" s="5" t="s">
        <v>77</v>
      </c>
      <c r="C71" s="5" t="s">
        <v>97</v>
      </c>
      <c r="D71" s="26" t="s">
        <v>431</v>
      </c>
      <c r="E71" s="26" t="s">
        <v>95</v>
      </c>
      <c r="F71" s="357">
        <v>38100000</v>
      </c>
      <c r="G71" s="352">
        <v>38100000</v>
      </c>
      <c r="H71" s="6">
        <v>44041</v>
      </c>
      <c r="I71" s="6">
        <f t="shared" ref="I71" si="7">H71+35</f>
        <v>44076</v>
      </c>
      <c r="J71" s="352">
        <v>38100000</v>
      </c>
      <c r="K71" s="6">
        <f t="shared" ref="K71" si="8">H71+180</f>
        <v>44221</v>
      </c>
      <c r="L71" s="352">
        <v>0</v>
      </c>
      <c r="M71" s="352">
        <f t="shared" ref="M71" si="9">J71-L71</f>
        <v>38100000</v>
      </c>
      <c r="N71" s="184">
        <v>44175</v>
      </c>
    </row>
    <row r="72" spans="1:20" s="186" customFormat="1">
      <c r="A72" s="5">
        <v>5209</v>
      </c>
      <c r="B72" s="5" t="s">
        <v>77</v>
      </c>
      <c r="C72" s="5" t="s">
        <v>152</v>
      </c>
      <c r="D72" s="26" t="s">
        <v>830</v>
      </c>
      <c r="E72" s="26" t="s">
        <v>79</v>
      </c>
      <c r="F72" s="357">
        <v>23500000</v>
      </c>
      <c r="G72" s="352">
        <v>23500000</v>
      </c>
      <c r="H72" s="6">
        <v>44044</v>
      </c>
      <c r="I72" s="6">
        <f t="shared" ref="I72:I91" si="10">H72+35</f>
        <v>44079</v>
      </c>
      <c r="J72" s="352">
        <v>23500000</v>
      </c>
      <c r="K72" s="6">
        <f t="shared" ref="K72:K91" si="11">H72+180</f>
        <v>44224</v>
      </c>
      <c r="L72" s="352">
        <v>0</v>
      </c>
      <c r="M72" s="352">
        <f t="shared" ref="M72:M93" si="12">J72-L72</f>
        <v>23500000</v>
      </c>
      <c r="N72" s="184">
        <v>44166</v>
      </c>
    </row>
    <row r="73" spans="1:20" s="186" customFormat="1">
      <c r="A73" s="5">
        <v>5233</v>
      </c>
      <c r="B73" s="5" t="s">
        <v>77</v>
      </c>
      <c r="C73" s="5" t="s">
        <v>141</v>
      </c>
      <c r="D73" s="26" t="s">
        <v>489</v>
      </c>
      <c r="E73" s="26" t="s">
        <v>594</v>
      </c>
      <c r="F73" s="357">
        <v>64819515</v>
      </c>
      <c r="G73" s="352">
        <f>F73</f>
        <v>64819515</v>
      </c>
      <c r="H73" s="6">
        <v>44050</v>
      </c>
      <c r="I73" s="6">
        <f t="shared" si="10"/>
        <v>44085</v>
      </c>
      <c r="J73" s="352">
        <f>G73</f>
        <v>64819515</v>
      </c>
      <c r="K73" s="6">
        <f t="shared" si="11"/>
        <v>44230</v>
      </c>
      <c r="L73" s="352">
        <v>0</v>
      </c>
      <c r="M73" s="352">
        <f>J73-L73</f>
        <v>64819515</v>
      </c>
      <c r="N73" s="184">
        <v>44181</v>
      </c>
    </row>
    <row r="74" spans="1:20" s="186" customFormat="1">
      <c r="A74" s="5">
        <v>5235</v>
      </c>
      <c r="B74" s="5" t="s">
        <v>77</v>
      </c>
      <c r="C74" s="5" t="s">
        <v>297</v>
      </c>
      <c r="D74" s="26" t="s">
        <v>458</v>
      </c>
      <c r="E74" s="26" t="s">
        <v>80</v>
      </c>
      <c r="F74" s="352">
        <v>50000000</v>
      </c>
      <c r="G74" s="352">
        <f t="shared" ref="G74:G75" si="13">F74</f>
        <v>50000000</v>
      </c>
      <c r="H74" s="6">
        <v>44050</v>
      </c>
      <c r="I74" s="6">
        <f t="shared" si="10"/>
        <v>44085</v>
      </c>
      <c r="J74" s="352">
        <v>50000000</v>
      </c>
      <c r="K74" s="6">
        <f t="shared" si="11"/>
        <v>44230</v>
      </c>
      <c r="L74" s="352">
        <v>0</v>
      </c>
      <c r="M74" s="352">
        <f t="shared" ref="M74:M75" si="14">J74-L74</f>
        <v>50000000</v>
      </c>
      <c r="N74" s="184">
        <v>44175</v>
      </c>
    </row>
    <row r="75" spans="1:20" s="574" customFormat="1">
      <c r="A75" s="569">
        <v>5236</v>
      </c>
      <c r="B75" s="569" t="s">
        <v>77</v>
      </c>
      <c r="C75" s="569" t="s">
        <v>141</v>
      </c>
      <c r="D75" s="570" t="s">
        <v>491</v>
      </c>
      <c r="E75" s="570" t="s">
        <v>142</v>
      </c>
      <c r="F75" s="357">
        <v>10000000</v>
      </c>
      <c r="G75" s="352">
        <f t="shared" si="13"/>
        <v>10000000</v>
      </c>
      <c r="H75" s="571">
        <v>44050</v>
      </c>
      <c r="I75" s="571">
        <f t="shared" si="10"/>
        <v>44085</v>
      </c>
      <c r="J75" s="352">
        <v>10000000</v>
      </c>
      <c r="K75" s="571">
        <f t="shared" si="11"/>
        <v>44230</v>
      </c>
      <c r="L75" s="352">
        <v>0</v>
      </c>
      <c r="M75" s="352">
        <f t="shared" si="14"/>
        <v>10000000</v>
      </c>
      <c r="N75" s="572">
        <v>44182</v>
      </c>
      <c r="O75" s="573"/>
    </row>
    <row r="76" spans="1:20" s="186" customFormat="1">
      <c r="A76" s="5">
        <v>5238</v>
      </c>
      <c r="B76" s="5" t="s">
        <v>77</v>
      </c>
      <c r="C76" s="5" t="s">
        <v>143</v>
      </c>
      <c r="D76" s="26" t="s">
        <v>492</v>
      </c>
      <c r="E76" s="26" t="s">
        <v>79</v>
      </c>
      <c r="F76" s="357">
        <v>25000000</v>
      </c>
      <c r="G76" s="352">
        <v>25000000</v>
      </c>
      <c r="H76" s="6">
        <v>44050</v>
      </c>
      <c r="I76" s="6">
        <f t="shared" si="10"/>
        <v>44085</v>
      </c>
      <c r="J76" s="352">
        <v>25000000</v>
      </c>
      <c r="K76" s="6">
        <f t="shared" si="11"/>
        <v>44230</v>
      </c>
      <c r="L76" s="352">
        <v>0</v>
      </c>
      <c r="M76" s="352">
        <f t="shared" si="12"/>
        <v>25000000</v>
      </c>
      <c r="N76" s="184">
        <v>44166</v>
      </c>
    </row>
    <row r="77" spans="1:20" s="186" customFormat="1">
      <c r="A77" s="5">
        <v>5239</v>
      </c>
      <c r="B77" s="5" t="s">
        <v>77</v>
      </c>
      <c r="C77" s="5" t="s">
        <v>369</v>
      </c>
      <c r="D77" s="26" t="s">
        <v>856</v>
      </c>
      <c r="E77" s="26" t="s">
        <v>321</v>
      </c>
      <c r="F77" s="357">
        <v>50000000</v>
      </c>
      <c r="G77" s="352">
        <v>50000000</v>
      </c>
      <c r="H77" s="6">
        <v>44050</v>
      </c>
      <c r="I77" s="6">
        <f t="shared" si="10"/>
        <v>44085</v>
      </c>
      <c r="J77" s="352">
        <v>50000000</v>
      </c>
      <c r="K77" s="6">
        <f t="shared" si="11"/>
        <v>44230</v>
      </c>
      <c r="L77" s="352">
        <v>0</v>
      </c>
      <c r="M77" s="352">
        <f t="shared" ref="M77:M78" si="15">J77-L77</f>
        <v>50000000</v>
      </c>
      <c r="N77" s="184">
        <v>44174</v>
      </c>
    </row>
    <row r="78" spans="1:20" s="186" customFormat="1">
      <c r="A78" s="5">
        <v>5240</v>
      </c>
      <c r="B78" s="5" t="s">
        <v>77</v>
      </c>
      <c r="C78" s="5" t="s">
        <v>297</v>
      </c>
      <c r="D78" s="26" t="s">
        <v>459</v>
      </c>
      <c r="E78" s="26" t="s">
        <v>80</v>
      </c>
      <c r="F78" s="352">
        <v>50000000</v>
      </c>
      <c r="G78" s="352">
        <v>50000000</v>
      </c>
      <c r="H78" s="6">
        <v>44054</v>
      </c>
      <c r="I78" s="6">
        <f t="shared" si="10"/>
        <v>44089</v>
      </c>
      <c r="J78" s="352">
        <v>50000000</v>
      </c>
      <c r="K78" s="6">
        <f t="shared" si="11"/>
        <v>44234</v>
      </c>
      <c r="L78" s="352">
        <v>0</v>
      </c>
      <c r="M78" s="352">
        <f t="shared" si="15"/>
        <v>50000000</v>
      </c>
      <c r="N78" s="184">
        <v>44175</v>
      </c>
    </row>
    <row r="79" spans="1:20" s="186" customFormat="1">
      <c r="A79" s="5">
        <v>5243</v>
      </c>
      <c r="B79" s="5" t="s">
        <v>77</v>
      </c>
      <c r="C79" s="5" t="s">
        <v>323</v>
      </c>
      <c r="D79" s="26" t="s">
        <v>567</v>
      </c>
      <c r="E79" s="26" t="s">
        <v>78</v>
      </c>
      <c r="F79" s="357">
        <v>50000000</v>
      </c>
      <c r="G79" s="352">
        <v>50000000</v>
      </c>
      <c r="H79" s="6">
        <v>44056</v>
      </c>
      <c r="I79" s="6">
        <f t="shared" si="10"/>
        <v>44091</v>
      </c>
      <c r="J79" s="352">
        <v>50000000</v>
      </c>
      <c r="K79" s="6">
        <f t="shared" si="11"/>
        <v>44236</v>
      </c>
      <c r="L79" s="352">
        <v>0</v>
      </c>
      <c r="M79" s="352">
        <f t="shared" si="12"/>
        <v>50000000</v>
      </c>
      <c r="N79" s="184">
        <v>44155</v>
      </c>
    </row>
    <row r="80" spans="1:20" s="186" customFormat="1">
      <c r="A80" s="578">
        <v>5244</v>
      </c>
      <c r="B80" s="578" t="s">
        <v>77</v>
      </c>
      <c r="C80" s="578" t="s">
        <v>76</v>
      </c>
      <c r="D80" s="578" t="s">
        <v>883</v>
      </c>
      <c r="E80" s="578" t="s">
        <v>79</v>
      </c>
      <c r="F80" s="352">
        <v>27500000</v>
      </c>
      <c r="G80" s="352">
        <v>27500000</v>
      </c>
      <c r="H80" s="579">
        <v>44056</v>
      </c>
      <c r="I80" s="579">
        <f t="shared" si="10"/>
        <v>44091</v>
      </c>
      <c r="J80" s="352">
        <v>27500000</v>
      </c>
      <c r="K80" s="579">
        <f t="shared" si="11"/>
        <v>44236</v>
      </c>
      <c r="L80" s="352">
        <v>0</v>
      </c>
      <c r="M80" s="352">
        <f t="shared" si="12"/>
        <v>27500000</v>
      </c>
      <c r="N80" s="184">
        <v>44183</v>
      </c>
    </row>
    <row r="81" spans="1:20" s="186" customFormat="1">
      <c r="A81" s="578">
        <v>5245</v>
      </c>
      <c r="B81" s="578" t="s">
        <v>77</v>
      </c>
      <c r="C81" s="578" t="s">
        <v>76</v>
      </c>
      <c r="D81" s="578" t="s">
        <v>884</v>
      </c>
      <c r="E81" s="578" t="s">
        <v>619</v>
      </c>
      <c r="F81" s="352">
        <v>12000000</v>
      </c>
      <c r="G81" s="352">
        <v>12000000</v>
      </c>
      <c r="H81" s="579">
        <v>44056</v>
      </c>
      <c r="I81" s="579">
        <f t="shared" si="10"/>
        <v>44091</v>
      </c>
      <c r="J81" s="352">
        <v>12000000</v>
      </c>
      <c r="K81" s="579">
        <f t="shared" si="11"/>
        <v>44236</v>
      </c>
      <c r="L81" s="352">
        <v>0</v>
      </c>
      <c r="M81" s="352">
        <f t="shared" si="12"/>
        <v>12000000</v>
      </c>
      <c r="N81" s="184">
        <v>44183</v>
      </c>
    </row>
    <row r="82" spans="1:20" s="186" customFormat="1">
      <c r="A82" s="578">
        <v>5246</v>
      </c>
      <c r="B82" s="578" t="s">
        <v>77</v>
      </c>
      <c r="C82" s="578" t="s">
        <v>76</v>
      </c>
      <c r="D82" s="578" t="s">
        <v>885</v>
      </c>
      <c r="E82" s="578" t="s">
        <v>80</v>
      </c>
      <c r="F82" s="352">
        <v>20000000</v>
      </c>
      <c r="G82" s="352">
        <v>20000000</v>
      </c>
      <c r="H82" s="579">
        <v>44056</v>
      </c>
      <c r="I82" s="579">
        <f t="shared" si="10"/>
        <v>44091</v>
      </c>
      <c r="J82" s="352">
        <v>20000000</v>
      </c>
      <c r="K82" s="579">
        <f t="shared" si="11"/>
        <v>44236</v>
      </c>
      <c r="L82" s="352">
        <v>0</v>
      </c>
      <c r="M82" s="352">
        <f t="shared" si="12"/>
        <v>20000000</v>
      </c>
      <c r="N82" s="184">
        <v>44183</v>
      </c>
    </row>
    <row r="83" spans="1:20" s="186" customFormat="1">
      <c r="A83" s="5">
        <v>5247</v>
      </c>
      <c r="B83" s="5" t="s">
        <v>77</v>
      </c>
      <c r="C83" s="5" t="s">
        <v>97</v>
      </c>
      <c r="D83" s="26" t="s">
        <v>428</v>
      </c>
      <c r="E83" s="26" t="s">
        <v>95</v>
      </c>
      <c r="F83" s="357">
        <v>25000000</v>
      </c>
      <c r="G83" s="69">
        <f>F83</f>
        <v>25000000</v>
      </c>
      <c r="H83" s="535">
        <v>44063</v>
      </c>
      <c r="I83" s="6">
        <f t="shared" si="10"/>
        <v>44098</v>
      </c>
      <c r="J83" s="352">
        <v>25000000</v>
      </c>
      <c r="K83" s="6">
        <f t="shared" si="11"/>
        <v>44243</v>
      </c>
      <c r="L83" s="352">
        <v>0</v>
      </c>
      <c r="M83" s="352">
        <f t="shared" si="12"/>
        <v>25000000</v>
      </c>
      <c r="N83" s="184">
        <v>44166</v>
      </c>
    </row>
    <row r="84" spans="1:20" s="186" customFormat="1">
      <c r="A84" s="5">
        <v>5248</v>
      </c>
      <c r="B84" s="5" t="s">
        <v>77</v>
      </c>
      <c r="C84" s="5" t="s">
        <v>289</v>
      </c>
      <c r="D84" s="26" t="s">
        <v>684</v>
      </c>
      <c r="E84" s="26" t="s">
        <v>78</v>
      </c>
      <c r="F84" s="357">
        <v>18000000</v>
      </c>
      <c r="G84" s="69">
        <v>18000000</v>
      </c>
      <c r="H84" s="535">
        <v>44063</v>
      </c>
      <c r="I84" s="6">
        <f t="shared" si="10"/>
        <v>44098</v>
      </c>
      <c r="J84" s="352">
        <v>18000000</v>
      </c>
      <c r="K84" s="6">
        <f t="shared" si="11"/>
        <v>44243</v>
      </c>
      <c r="L84" s="352">
        <v>0</v>
      </c>
      <c r="M84" s="352">
        <f t="shared" si="12"/>
        <v>18000000</v>
      </c>
      <c r="N84" s="184">
        <v>44168</v>
      </c>
    </row>
    <row r="85" spans="1:20" s="186" customFormat="1">
      <c r="A85" s="5">
        <v>5249</v>
      </c>
      <c r="B85" s="5" t="s">
        <v>77</v>
      </c>
      <c r="C85" s="5" t="s">
        <v>295</v>
      </c>
      <c r="D85" s="26" t="s">
        <v>452</v>
      </c>
      <c r="E85" s="26" t="s">
        <v>444</v>
      </c>
      <c r="F85" s="357">
        <v>30000000</v>
      </c>
      <c r="G85" s="69">
        <f t="shared" ref="G85" si="16">F85</f>
        <v>30000000</v>
      </c>
      <c r="H85" s="535">
        <v>44063</v>
      </c>
      <c r="I85" s="6">
        <f t="shared" si="10"/>
        <v>44098</v>
      </c>
      <c r="J85" s="352">
        <v>30000000</v>
      </c>
      <c r="K85" s="535">
        <f t="shared" si="11"/>
        <v>44243</v>
      </c>
      <c r="L85" s="352">
        <v>0</v>
      </c>
      <c r="M85" s="352">
        <f t="shared" si="12"/>
        <v>30000000</v>
      </c>
      <c r="N85" s="184">
        <v>44181</v>
      </c>
    </row>
    <row r="86" spans="1:20" s="186" customFormat="1">
      <c r="A86" s="5">
        <v>5251</v>
      </c>
      <c r="B86" s="5" t="s">
        <v>77</v>
      </c>
      <c r="C86" s="5" t="s">
        <v>289</v>
      </c>
      <c r="D86" s="26" t="s">
        <v>424</v>
      </c>
      <c r="E86" s="26" t="s">
        <v>78</v>
      </c>
      <c r="F86" s="357">
        <v>30000000</v>
      </c>
      <c r="G86" s="69">
        <f t="shared" ref="G86:G90" si="17">F86</f>
        <v>30000000</v>
      </c>
      <c r="H86" s="535">
        <v>44063</v>
      </c>
      <c r="I86" s="6">
        <f t="shared" si="10"/>
        <v>44098</v>
      </c>
      <c r="J86" s="352">
        <v>30000000</v>
      </c>
      <c r="K86" s="6">
        <f t="shared" si="11"/>
        <v>44243</v>
      </c>
      <c r="L86" s="352">
        <v>0</v>
      </c>
      <c r="M86" s="352">
        <f t="shared" si="12"/>
        <v>30000000</v>
      </c>
      <c r="N86" s="184">
        <v>44168</v>
      </c>
    </row>
    <row r="87" spans="1:20" s="186" customFormat="1">
      <c r="A87" s="5">
        <v>5252</v>
      </c>
      <c r="B87" s="5" t="s">
        <v>77</v>
      </c>
      <c r="C87" s="5" t="s">
        <v>98</v>
      </c>
      <c r="D87" s="26" t="s">
        <v>182</v>
      </c>
      <c r="E87" s="26" t="s">
        <v>79</v>
      </c>
      <c r="F87" s="357">
        <v>45000000</v>
      </c>
      <c r="G87" s="69">
        <f t="shared" si="17"/>
        <v>45000000</v>
      </c>
      <c r="H87" s="535">
        <v>44063</v>
      </c>
      <c r="I87" s="6">
        <f t="shared" si="10"/>
        <v>44098</v>
      </c>
      <c r="J87" s="352">
        <v>45000000</v>
      </c>
      <c r="K87" s="535">
        <f t="shared" si="11"/>
        <v>44243</v>
      </c>
      <c r="L87" s="352">
        <v>0</v>
      </c>
      <c r="M87" s="352">
        <f t="shared" si="12"/>
        <v>45000000</v>
      </c>
      <c r="N87" s="184">
        <v>44175</v>
      </c>
    </row>
    <row r="88" spans="1:20" s="186" customFormat="1">
      <c r="A88" s="5">
        <v>5253</v>
      </c>
      <c r="B88" s="5" t="s">
        <v>77</v>
      </c>
      <c r="C88" s="5" t="s">
        <v>98</v>
      </c>
      <c r="D88" s="26" t="s">
        <v>737</v>
      </c>
      <c r="E88" s="26" t="s">
        <v>79</v>
      </c>
      <c r="F88" s="357">
        <v>40000000</v>
      </c>
      <c r="G88" s="69">
        <f t="shared" si="17"/>
        <v>40000000</v>
      </c>
      <c r="H88" s="535">
        <v>44063</v>
      </c>
      <c r="I88" s="6">
        <f t="shared" si="10"/>
        <v>44098</v>
      </c>
      <c r="J88" s="352">
        <v>40000000</v>
      </c>
      <c r="K88" s="535">
        <f t="shared" si="11"/>
        <v>44243</v>
      </c>
      <c r="L88" s="352">
        <v>0</v>
      </c>
      <c r="M88" s="352">
        <f t="shared" si="12"/>
        <v>40000000</v>
      </c>
      <c r="N88" s="184">
        <v>44175</v>
      </c>
    </row>
    <row r="89" spans="1:20" s="186" customFormat="1">
      <c r="A89" s="5">
        <v>5254</v>
      </c>
      <c r="B89" s="5" t="s">
        <v>77</v>
      </c>
      <c r="C89" s="5" t="s">
        <v>233</v>
      </c>
      <c r="D89" s="26" t="s">
        <v>742</v>
      </c>
      <c r="E89" s="26" t="s">
        <v>79</v>
      </c>
      <c r="F89" s="357">
        <v>50000000</v>
      </c>
      <c r="G89" s="69">
        <f t="shared" si="17"/>
        <v>50000000</v>
      </c>
      <c r="H89" s="535">
        <v>44063</v>
      </c>
      <c r="I89" s="6">
        <f t="shared" si="10"/>
        <v>44098</v>
      </c>
      <c r="J89" s="352">
        <v>50000000</v>
      </c>
      <c r="K89" s="535">
        <f t="shared" si="11"/>
        <v>44243</v>
      </c>
      <c r="L89" s="352">
        <v>0</v>
      </c>
      <c r="M89" s="352">
        <f t="shared" si="12"/>
        <v>50000000</v>
      </c>
      <c r="N89" s="184">
        <v>44175</v>
      </c>
    </row>
    <row r="90" spans="1:20" s="186" customFormat="1">
      <c r="A90" s="5">
        <v>5255</v>
      </c>
      <c r="B90" s="5" t="s">
        <v>77</v>
      </c>
      <c r="C90" s="5" t="s">
        <v>233</v>
      </c>
      <c r="D90" s="26" t="s">
        <v>744</v>
      </c>
      <c r="E90" s="26" t="s">
        <v>79</v>
      </c>
      <c r="F90" s="357">
        <v>50000000</v>
      </c>
      <c r="G90" s="69">
        <f t="shared" si="17"/>
        <v>50000000</v>
      </c>
      <c r="H90" s="535">
        <v>44063</v>
      </c>
      <c r="I90" s="6">
        <f t="shared" si="10"/>
        <v>44098</v>
      </c>
      <c r="J90" s="352">
        <v>50000000</v>
      </c>
      <c r="K90" s="535">
        <f t="shared" si="11"/>
        <v>44243</v>
      </c>
      <c r="L90" s="352">
        <v>0</v>
      </c>
      <c r="M90" s="352">
        <f t="shared" si="12"/>
        <v>50000000</v>
      </c>
      <c r="N90" s="184">
        <v>44175</v>
      </c>
    </row>
    <row r="91" spans="1:20" s="186" customFormat="1">
      <c r="A91" s="5">
        <v>5259</v>
      </c>
      <c r="B91" s="5" t="s">
        <v>77</v>
      </c>
      <c r="C91" s="5" t="s">
        <v>323</v>
      </c>
      <c r="D91" s="26" t="s">
        <v>543</v>
      </c>
      <c r="E91" s="26" t="s">
        <v>78</v>
      </c>
      <c r="F91" s="357">
        <v>35000000</v>
      </c>
      <c r="G91" s="357">
        <v>35000000</v>
      </c>
      <c r="H91" s="535">
        <v>44082</v>
      </c>
      <c r="I91" s="6">
        <f t="shared" si="10"/>
        <v>44117</v>
      </c>
      <c r="J91" s="352">
        <v>35000000</v>
      </c>
      <c r="K91" s="6">
        <f t="shared" si="11"/>
        <v>44262</v>
      </c>
      <c r="L91" s="352">
        <v>0</v>
      </c>
      <c r="M91" s="352">
        <f t="shared" si="12"/>
        <v>35000000</v>
      </c>
      <c r="N91" s="184">
        <v>44168</v>
      </c>
    </row>
    <row r="92" spans="1:20" s="186" customFormat="1">
      <c r="A92" s="5">
        <v>5264</v>
      </c>
      <c r="B92" s="5" t="s">
        <v>77</v>
      </c>
      <c r="C92" s="5" t="s">
        <v>164</v>
      </c>
      <c r="D92" s="26" t="s">
        <v>907</v>
      </c>
      <c r="E92" s="26" t="s">
        <v>80</v>
      </c>
      <c r="F92" s="357">
        <v>35000000</v>
      </c>
      <c r="G92" s="357">
        <v>35000000</v>
      </c>
      <c r="H92" s="535">
        <v>44142</v>
      </c>
      <c r="I92" s="6">
        <f>H92+35</f>
        <v>44177</v>
      </c>
      <c r="J92" s="357">
        <v>35000000</v>
      </c>
      <c r="K92" s="535">
        <f>H92+180</f>
        <v>44322</v>
      </c>
      <c r="L92" s="352">
        <v>0</v>
      </c>
      <c r="M92" s="352">
        <f t="shared" si="12"/>
        <v>35000000</v>
      </c>
      <c r="N92" s="184">
        <v>44175</v>
      </c>
    </row>
    <row r="93" spans="1:20" s="186" customFormat="1">
      <c r="A93" s="5">
        <v>5266</v>
      </c>
      <c r="B93" s="5" t="s">
        <v>77</v>
      </c>
      <c r="C93" s="5" t="s">
        <v>249</v>
      </c>
      <c r="D93" s="26" t="s">
        <v>912</v>
      </c>
      <c r="E93" s="26" t="s">
        <v>95</v>
      </c>
      <c r="F93" s="357">
        <v>52000000</v>
      </c>
      <c r="G93" s="357">
        <f>F93</f>
        <v>52000000</v>
      </c>
      <c r="H93" s="535">
        <v>44146</v>
      </c>
      <c r="I93" s="6">
        <f>H93+35</f>
        <v>44181</v>
      </c>
      <c r="J93" s="357">
        <v>52000000</v>
      </c>
      <c r="K93" s="535">
        <f>H93+180</f>
        <v>44326</v>
      </c>
      <c r="L93" s="352">
        <v>0</v>
      </c>
      <c r="M93" s="352">
        <f t="shared" si="12"/>
        <v>52000000</v>
      </c>
      <c r="N93" s="184">
        <v>44181</v>
      </c>
    </row>
    <row r="94" spans="1:20" s="186" customFormat="1">
      <c r="A94" s="13"/>
      <c r="B94" s="13"/>
      <c r="C94" s="13"/>
      <c r="D94" s="36"/>
      <c r="E94" s="36"/>
      <c r="F94" s="289"/>
      <c r="G94" s="124"/>
      <c r="H94" s="7"/>
      <c r="I94" s="184"/>
      <c r="J94" s="124"/>
      <c r="K94" s="184"/>
      <c r="L94" s="32"/>
      <c r="M94" s="124"/>
      <c r="N94" s="184"/>
      <c r="T94" s="62"/>
    </row>
    <row r="95" spans="1:20">
      <c r="A95" s="5"/>
      <c r="B95" s="5"/>
      <c r="C95" s="5"/>
      <c r="D95" s="26"/>
      <c r="E95" s="26"/>
      <c r="F95" s="352"/>
      <c r="G95" s="71"/>
      <c r="H95" s="3"/>
      <c r="I95" s="3"/>
      <c r="J95" s="77">
        <f>SUM(J69:J94)</f>
        <v>915919515</v>
      </c>
      <c r="K95" s="7"/>
      <c r="L95" s="77">
        <f>SUM(L69:L94)</f>
        <v>0</v>
      </c>
      <c r="M95" s="77">
        <f>SUM(M69:M94)</f>
        <v>915919515</v>
      </c>
      <c r="N95" s="152"/>
      <c r="T95" s="77">
        <f>SUM(T94:T94)</f>
        <v>0</v>
      </c>
    </row>
    <row r="96" spans="1:20" ht="12.75" thickBot="1">
      <c r="F96" s="185"/>
      <c r="G96" s="185"/>
      <c r="H96" s="185"/>
      <c r="I96" s="185"/>
      <c r="J96" s="185"/>
      <c r="K96" s="185"/>
      <c r="N96" s="152"/>
    </row>
    <row r="97" spans="1:20">
      <c r="A97" s="169" t="s">
        <v>60</v>
      </c>
      <c r="F97" s="185"/>
      <c r="G97" s="188"/>
      <c r="H97" s="152"/>
      <c r="I97" s="185"/>
      <c r="J97" s="185"/>
      <c r="K97" s="185"/>
      <c r="N97" s="152"/>
    </row>
    <row r="98" spans="1:20">
      <c r="A98" s="13">
        <v>5268</v>
      </c>
      <c r="B98" s="13" t="s">
        <v>77</v>
      </c>
      <c r="C98" s="13" t="s">
        <v>83</v>
      </c>
      <c r="D98" s="36" t="s">
        <v>532</v>
      </c>
      <c r="E98" s="36" t="s">
        <v>82</v>
      </c>
      <c r="F98" s="565">
        <v>99275400.870000005</v>
      </c>
      <c r="G98" s="565">
        <f>F98</f>
        <v>99275400.870000005</v>
      </c>
      <c r="H98" s="365">
        <v>44149</v>
      </c>
      <c r="I98" s="11">
        <f t="shared" ref="I98" si="18">H98+35</f>
        <v>44184</v>
      </c>
      <c r="J98" s="289">
        <v>99275000</v>
      </c>
      <c r="K98" s="11">
        <f>H98+150</f>
        <v>44299</v>
      </c>
      <c r="L98" s="289">
        <v>0</v>
      </c>
      <c r="M98" s="289">
        <f>J98-L98</f>
        <v>99275000</v>
      </c>
      <c r="N98" s="152">
        <v>44175</v>
      </c>
    </row>
    <row r="99" spans="1:20">
      <c r="N99" s="152"/>
    </row>
    <row r="100" spans="1:20">
      <c r="I100" s="198"/>
      <c r="J100" s="349">
        <f>SUM(J98:J99)</f>
        <v>99275000</v>
      </c>
      <c r="K100" s="186"/>
      <c r="L100" s="77">
        <f>SUM(L98:L99)</f>
        <v>0</v>
      </c>
      <c r="M100" s="77">
        <f>SUM(M98:M99)</f>
        <v>99275000</v>
      </c>
      <c r="N100" s="152"/>
      <c r="T100" s="77">
        <f>SUM(T98:T99)</f>
        <v>0</v>
      </c>
    </row>
    <row r="101" spans="1:20">
      <c r="I101" s="198"/>
      <c r="N101" s="152"/>
    </row>
    <row r="103" spans="1:20" ht="12.75" thickBot="1">
      <c r="J103" s="350">
        <f>J27+J66+J95+J100</f>
        <v>2240700797</v>
      </c>
      <c r="M103" s="350">
        <f>M100+M95+M66+F30</f>
        <v>2607118519.8699999</v>
      </c>
      <c r="O103" s="265"/>
      <c r="P103" s="265"/>
      <c r="Q103" s="265"/>
      <c r="R103" s="265"/>
      <c r="T103" s="347">
        <f>T100+T95+T66+T30</f>
        <v>0</v>
      </c>
    </row>
    <row r="104" spans="1:20" ht="12.75" thickTop="1">
      <c r="M104" s="198"/>
    </row>
    <row r="106" spans="1:20">
      <c r="H106" s="200"/>
    </row>
    <row r="107" spans="1:20">
      <c r="H107" s="200"/>
    </row>
    <row r="108" spans="1:20">
      <c r="A108" s="13"/>
      <c r="B108" s="13"/>
      <c r="C108" s="13"/>
      <c r="D108" s="36"/>
      <c r="E108" s="36"/>
      <c r="F108" s="449"/>
      <c r="G108" s="289"/>
      <c r="H108" s="11"/>
      <c r="I108" s="11"/>
      <c r="J108" s="289"/>
      <c r="K108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9.8554687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32.7109375" style="13" customWidth="1"/>
    <col min="6" max="6" width="33.7109375" style="13" customWidth="1"/>
    <col min="7" max="7" width="11.28515625" style="13" bestFit="1" customWidth="1"/>
    <col min="8" max="8" width="13.85546875" style="12" bestFit="1" customWidth="1"/>
    <col min="9" max="9" width="12.7109375" style="35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ROUND(Totals!$H$8*Totals!$P$18, 0)</f>
        <v>43895264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481" customFormat="1">
      <c r="A7" s="481" t="s">
        <v>147</v>
      </c>
      <c r="B7" s="481" t="s">
        <v>147</v>
      </c>
      <c r="C7" s="481">
        <v>5159</v>
      </c>
      <c r="D7" s="481" t="s">
        <v>622</v>
      </c>
      <c r="E7" s="481" t="s">
        <v>701</v>
      </c>
      <c r="F7" s="482" t="s">
        <v>702</v>
      </c>
      <c r="G7" s="482" t="s">
        <v>234</v>
      </c>
      <c r="H7" s="405">
        <v>30000000</v>
      </c>
      <c r="I7" s="405">
        <f>H7</f>
        <v>30000000</v>
      </c>
      <c r="J7" s="485">
        <v>43887</v>
      </c>
      <c r="K7" s="485">
        <f>J7+35</f>
        <v>43922</v>
      </c>
      <c r="L7" s="405">
        <v>30000000</v>
      </c>
      <c r="M7" s="485">
        <f>J7+180</f>
        <v>44067</v>
      </c>
      <c r="N7" s="405">
        <v>0</v>
      </c>
      <c r="O7" s="405">
        <f>L7-N7</f>
        <v>30000000</v>
      </c>
      <c r="P7" s="485">
        <v>44035</v>
      </c>
      <c r="Q7" s="481" t="s">
        <v>258</v>
      </c>
      <c r="R7" s="507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30000000</v>
      </c>
      <c r="I9" s="263">
        <f>SUM(I7:I8)</f>
        <v>30000000</v>
      </c>
      <c r="J9" s="10"/>
      <c r="K9" s="10"/>
      <c r="L9" s="263">
        <f>SUM(L7:L8)</f>
        <v>30000000</v>
      </c>
      <c r="M9" s="10"/>
      <c r="N9" s="362">
        <f>SUM(N7:N8)</f>
        <v>0</v>
      </c>
      <c r="O9" s="263">
        <f>SUM(O7:O8)</f>
        <v>30000000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43895264</v>
      </c>
      <c r="I13" s="293"/>
      <c r="J13" s="138"/>
      <c r="L13" s="9"/>
      <c r="M13" s="138"/>
      <c r="Q13" s="13"/>
    </row>
    <row r="15" spans="1:22">
      <c r="K15" s="11"/>
    </row>
    <row r="16" spans="1:22">
      <c r="G16" s="300"/>
    </row>
    <row r="20" spans="7:10">
      <c r="G20" s="36"/>
    </row>
    <row r="27" spans="7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1406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2.140625" style="13" customWidth="1"/>
    <col min="6" max="6" width="34.42578125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ROUND(Totals!$H$8*Totals!$P$19, 0)</f>
        <v>15564107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15564107</v>
      </c>
      <c r="I13" s="293"/>
      <c r="J13" s="138"/>
      <c r="L13" s="9"/>
      <c r="M13" s="138"/>
      <c r="Q13" s="13"/>
    </row>
    <row r="14" spans="1:22">
      <c r="I14" s="97"/>
    </row>
    <row r="16" spans="1:22">
      <c r="G16" s="300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5546875" defaultRowHeight="12"/>
  <cols>
    <col min="1" max="1" width="10.42578125" style="13" customWidth="1"/>
    <col min="2" max="2" width="7.140625" style="13" bestFit="1" customWidth="1"/>
    <col min="3" max="3" width="10.140625" style="13" bestFit="1" customWidth="1"/>
    <col min="4" max="4" width="8.5703125" style="13" bestFit="1" customWidth="1"/>
    <col min="5" max="5" width="36" style="13" customWidth="1"/>
    <col min="6" max="6" width="40" style="13" customWidth="1"/>
    <col min="7" max="7" width="11.28515625" style="13" bestFit="1" customWidth="1"/>
    <col min="8" max="8" width="13.85546875" style="12" bestFit="1" customWidth="1"/>
    <col min="9" max="9" width="12.7109375" style="35" bestFit="1" customWidth="1"/>
    <col min="10" max="10" width="15.28515625" style="13" bestFit="1" customWidth="1"/>
    <col min="11" max="11" width="10.85546875" style="13" bestFit="1" customWidth="1"/>
    <col min="12" max="12" width="12.5703125" style="35" bestFit="1" customWidth="1"/>
    <col min="13" max="13" width="10.85546875" style="13" bestFit="1" customWidth="1"/>
    <col min="14" max="14" width="15.28515625" style="12" bestFit="1" customWidth="1"/>
    <col min="15" max="15" width="12.28515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389">
        <f>ROUND(Totals!$H$8*Totals!$P$20, 0)</f>
        <v>21363754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5"/>
      <c r="M7" s="11"/>
      <c r="N7" s="315"/>
      <c r="O7" s="315"/>
      <c r="P7" s="11"/>
      <c r="R7" s="43"/>
    </row>
    <row r="8" spans="1:22">
      <c r="F8" s="36"/>
      <c r="G8" s="36"/>
      <c r="H8" s="27"/>
      <c r="I8" s="27"/>
      <c r="J8" s="11"/>
      <c r="K8" s="11"/>
      <c r="L8" s="315"/>
      <c r="M8" s="11"/>
      <c r="N8" s="315"/>
      <c r="O8" s="315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21363754</v>
      </c>
      <c r="I13" s="293"/>
      <c r="J13" s="138"/>
      <c r="L13" s="9"/>
      <c r="M13" s="138"/>
      <c r="Q13" s="13"/>
    </row>
    <row r="15" spans="1:22">
      <c r="M15" s="11"/>
    </row>
    <row r="16" spans="1:22">
      <c r="G16" s="300"/>
      <c r="J16" s="11"/>
      <c r="K16" s="11"/>
    </row>
    <row r="18" spans="10:11">
      <c r="K18" s="13" t="s">
        <v>7</v>
      </c>
    </row>
    <row r="27" spans="10:11">
      <c r="J27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6"/>
  <sheetViews>
    <sheetView zoomScaleNormal="100" workbookViewId="0">
      <pane ySplit="6" topLeftCell="A76" activePane="bottomLeft" state="frozen"/>
      <selection pane="bottomLeft" activeCell="H110" sqref="H110"/>
    </sheetView>
  </sheetViews>
  <sheetFormatPr defaultColWidth="11.42578125" defaultRowHeight="12"/>
  <cols>
    <col min="1" max="1" width="8.42578125" style="1" customWidth="1"/>
    <col min="2" max="2" width="6.140625" style="1" customWidth="1"/>
    <col min="3" max="3" width="9.42578125" style="1" customWidth="1"/>
    <col min="4" max="4" width="13.28515625" style="1" bestFit="1" customWidth="1"/>
    <col min="5" max="5" width="31.28515625" style="1" customWidth="1"/>
    <col min="6" max="6" width="50.140625" style="1" customWidth="1"/>
    <col min="7" max="7" width="14" style="1" bestFit="1" customWidth="1"/>
    <col min="8" max="8" width="17.42578125" style="76" bestFit="1" customWidth="1"/>
    <col min="9" max="9" width="14" style="1" bestFit="1" customWidth="1"/>
    <col min="10" max="10" width="15.28515625" style="1" bestFit="1" customWidth="1"/>
    <col min="11" max="11" width="10.85546875" style="1" bestFit="1" customWidth="1"/>
    <col min="12" max="12" width="13.85546875" style="9" bestFit="1" customWidth="1"/>
    <col min="13" max="13" width="10.85546875" style="1" bestFit="1" customWidth="1"/>
    <col min="14" max="14" width="15.28515625" style="1" bestFit="1" customWidth="1"/>
    <col min="15" max="15" width="14" style="1" customWidth="1"/>
    <col min="16" max="16" width="10.5703125" style="1" bestFit="1" customWidth="1"/>
    <col min="17" max="17" width="10.28515625" style="13" bestFit="1" customWidth="1"/>
    <col min="18" max="18" width="41.5703125" style="1" bestFit="1" customWidth="1"/>
    <col min="19" max="19" width="17.7109375" style="1" bestFit="1" customWidth="1"/>
    <col min="20" max="16384" width="11.42578125" style="1"/>
  </cols>
  <sheetData>
    <row r="1" spans="1:22" s="24" customFormat="1">
      <c r="A1" s="25" t="s">
        <v>30</v>
      </c>
      <c r="B1" s="48"/>
      <c r="C1" s="292"/>
      <c r="D1" s="17"/>
      <c r="E1" s="389">
        <f>Totals!I8</f>
        <v>1124809224</v>
      </c>
      <c r="F1" s="203"/>
      <c r="G1" s="18"/>
      <c r="H1" s="129"/>
      <c r="I1" s="20"/>
      <c r="J1" s="21"/>
      <c r="K1" s="22"/>
      <c r="L1" s="19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193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13" customFormat="1">
      <c r="A7" s="13">
        <v>3</v>
      </c>
      <c r="B7" s="13">
        <v>3</v>
      </c>
      <c r="C7" s="13" t="s">
        <v>500</v>
      </c>
      <c r="D7" s="13" t="s">
        <v>622</v>
      </c>
      <c r="E7" s="13" t="s">
        <v>238</v>
      </c>
      <c r="F7" s="36" t="s">
        <v>526</v>
      </c>
      <c r="G7" s="36" t="s">
        <v>527</v>
      </c>
      <c r="H7" s="66">
        <v>0</v>
      </c>
      <c r="I7" s="66"/>
      <c r="J7" s="11"/>
      <c r="K7" s="11"/>
      <c r="L7" s="27"/>
      <c r="M7" s="11"/>
      <c r="N7" s="27"/>
      <c r="O7" s="27"/>
      <c r="P7" s="11"/>
      <c r="Q7" s="13" t="s">
        <v>228</v>
      </c>
      <c r="R7" s="93" t="s">
        <v>621</v>
      </c>
    </row>
    <row r="8" spans="1:22" s="13" customFormat="1">
      <c r="A8" s="13">
        <v>4</v>
      </c>
      <c r="B8" s="13">
        <v>4</v>
      </c>
      <c r="C8" s="13">
        <v>5110</v>
      </c>
      <c r="D8" s="13" t="s">
        <v>632</v>
      </c>
      <c r="E8" s="13" t="s">
        <v>155</v>
      </c>
      <c r="F8" s="36" t="s">
        <v>528</v>
      </c>
      <c r="G8" s="36" t="s">
        <v>81</v>
      </c>
      <c r="H8" s="449">
        <v>22000000</v>
      </c>
      <c r="I8" s="449">
        <f>H8</f>
        <v>22000000</v>
      </c>
      <c r="J8" s="11">
        <v>43839</v>
      </c>
      <c r="K8" s="11">
        <f>J8+35</f>
        <v>43874</v>
      </c>
      <c r="L8" s="289">
        <v>22000000</v>
      </c>
      <c r="M8" s="11">
        <f>J8+180</f>
        <v>44019</v>
      </c>
      <c r="N8" s="289">
        <v>12489000</v>
      </c>
      <c r="O8" s="289">
        <f>L8-N8</f>
        <v>9511000</v>
      </c>
      <c r="P8" s="11">
        <v>44014</v>
      </c>
      <c r="Q8" s="13" t="s">
        <v>219</v>
      </c>
      <c r="R8" s="474" t="s">
        <v>626</v>
      </c>
    </row>
    <row r="9" spans="1:22" s="5" customFormat="1">
      <c r="A9" s="13">
        <v>45</v>
      </c>
      <c r="B9" s="13">
        <v>5</v>
      </c>
      <c r="C9" s="13" t="s">
        <v>504</v>
      </c>
      <c r="D9" s="13" t="s">
        <v>622</v>
      </c>
      <c r="E9" s="13" t="s">
        <v>155</v>
      </c>
      <c r="F9" s="36" t="s">
        <v>544</v>
      </c>
      <c r="G9" s="36" t="s">
        <v>81</v>
      </c>
      <c r="H9" s="449">
        <v>0</v>
      </c>
      <c r="I9" s="449"/>
      <c r="J9" s="11"/>
      <c r="K9" s="11"/>
      <c r="L9" s="289"/>
      <c r="M9" s="11"/>
      <c r="N9" s="289"/>
      <c r="O9" s="289"/>
      <c r="P9" s="11"/>
      <c r="Q9" s="13" t="s">
        <v>257</v>
      </c>
      <c r="R9" s="93" t="s">
        <v>651</v>
      </c>
      <c r="S9" s="13"/>
    </row>
    <row r="10" spans="1:22" s="437" customFormat="1">
      <c r="A10" s="437">
        <v>6</v>
      </c>
      <c r="B10" s="437">
        <v>6</v>
      </c>
      <c r="C10" s="437">
        <v>5114</v>
      </c>
      <c r="D10" s="437" t="s">
        <v>622</v>
      </c>
      <c r="E10" s="437" t="s">
        <v>83</v>
      </c>
      <c r="F10" s="438" t="s">
        <v>532</v>
      </c>
      <c r="G10" s="438" t="s">
        <v>82</v>
      </c>
      <c r="H10" s="489">
        <v>65000000</v>
      </c>
      <c r="I10" s="489">
        <f>H10</f>
        <v>65000000</v>
      </c>
      <c r="J10" s="440">
        <v>43840</v>
      </c>
      <c r="K10" s="440">
        <f>J10+35</f>
        <v>43875</v>
      </c>
      <c r="L10" s="359">
        <v>65000000</v>
      </c>
      <c r="M10" s="440">
        <f>J10+150</f>
        <v>43990</v>
      </c>
      <c r="N10" s="359">
        <v>0</v>
      </c>
      <c r="O10" s="359">
        <f>L10-N10</f>
        <v>65000000</v>
      </c>
      <c r="P10" s="440">
        <v>43980</v>
      </c>
      <c r="Q10" s="437" t="s">
        <v>147</v>
      </c>
      <c r="R10" s="93"/>
    </row>
    <row r="11" spans="1:22" s="13" customFormat="1">
      <c r="A11" s="13">
        <v>5</v>
      </c>
      <c r="B11" s="13">
        <v>7</v>
      </c>
      <c r="C11" s="13">
        <v>5113</v>
      </c>
      <c r="D11" s="13" t="s">
        <v>632</v>
      </c>
      <c r="E11" s="13" t="s">
        <v>529</v>
      </c>
      <c r="F11" s="36" t="s">
        <v>530</v>
      </c>
      <c r="G11" s="36" t="s">
        <v>531</v>
      </c>
      <c r="H11" s="449">
        <v>6500000</v>
      </c>
      <c r="I11" s="449">
        <f>H11</f>
        <v>6500000</v>
      </c>
      <c r="J11" s="11">
        <v>43840</v>
      </c>
      <c r="K11" s="11">
        <f>J11+35</f>
        <v>43875</v>
      </c>
      <c r="L11" s="289">
        <v>6500000</v>
      </c>
      <c r="M11" s="11">
        <f>J11+180</f>
        <v>44020</v>
      </c>
      <c r="N11" s="289">
        <v>5494000</v>
      </c>
      <c r="O11" s="289">
        <f>L11-N11</f>
        <v>1006000</v>
      </c>
      <c r="P11" s="11">
        <v>44026</v>
      </c>
      <c r="Q11" s="13" t="s">
        <v>220</v>
      </c>
      <c r="R11" s="474" t="s">
        <v>627</v>
      </c>
    </row>
    <row r="12" spans="1:22" s="5" customFormat="1">
      <c r="A12" s="13">
        <v>7</v>
      </c>
      <c r="B12" s="13">
        <v>8</v>
      </c>
      <c r="C12" s="13" t="s">
        <v>501</v>
      </c>
      <c r="D12" s="13" t="s">
        <v>622</v>
      </c>
      <c r="E12" s="13" t="s">
        <v>155</v>
      </c>
      <c r="F12" s="36" t="s">
        <v>533</v>
      </c>
      <c r="G12" s="36" t="s">
        <v>81</v>
      </c>
      <c r="H12" s="66">
        <v>0</v>
      </c>
      <c r="I12" s="66"/>
      <c r="J12" s="11"/>
      <c r="K12" s="11"/>
      <c r="L12" s="27"/>
      <c r="M12" s="11"/>
      <c r="N12" s="27"/>
      <c r="O12" s="27"/>
      <c r="P12" s="11"/>
      <c r="Q12" s="13" t="s">
        <v>219</v>
      </c>
      <c r="R12" s="93" t="s">
        <v>625</v>
      </c>
      <c r="S12" s="13"/>
    </row>
    <row r="13" spans="1:22" s="437" customFormat="1">
      <c r="A13" s="13">
        <v>9</v>
      </c>
      <c r="B13" s="13">
        <v>10</v>
      </c>
      <c r="C13" s="13">
        <v>5117</v>
      </c>
      <c r="D13" s="13" t="s">
        <v>622</v>
      </c>
      <c r="E13" s="13" t="s">
        <v>314</v>
      </c>
      <c r="F13" s="36" t="s">
        <v>534</v>
      </c>
      <c r="G13" s="36" t="s">
        <v>79</v>
      </c>
      <c r="H13" s="449">
        <v>35000000</v>
      </c>
      <c r="I13" s="449">
        <f>H13</f>
        <v>35000000</v>
      </c>
      <c r="J13" s="11">
        <v>43846</v>
      </c>
      <c r="K13" s="11">
        <f>J13+35</f>
        <v>43881</v>
      </c>
      <c r="L13" s="289">
        <v>35000000</v>
      </c>
      <c r="M13" s="11">
        <f>J13+180</f>
        <v>44026</v>
      </c>
      <c r="N13" s="289">
        <v>0</v>
      </c>
      <c r="O13" s="289">
        <f>L13-N13</f>
        <v>35000000</v>
      </c>
      <c r="P13" s="11">
        <v>44027</v>
      </c>
      <c r="Q13" s="13" t="s">
        <v>219</v>
      </c>
      <c r="R13" s="474" t="s">
        <v>635</v>
      </c>
      <c r="S13" s="13"/>
    </row>
    <row r="14" spans="1:22" s="13" customFormat="1">
      <c r="A14" s="437">
        <v>11</v>
      </c>
      <c r="B14" s="437">
        <v>11</v>
      </c>
      <c r="C14" s="437">
        <v>5118</v>
      </c>
      <c r="D14" s="437" t="s">
        <v>622</v>
      </c>
      <c r="E14" s="437" t="s">
        <v>247</v>
      </c>
      <c r="F14" s="438" t="s">
        <v>327</v>
      </c>
      <c r="G14" s="438" t="s">
        <v>248</v>
      </c>
      <c r="H14" s="439">
        <v>100000000</v>
      </c>
      <c r="I14" s="439">
        <f>H14</f>
        <v>100000000</v>
      </c>
      <c r="J14" s="440">
        <v>43846</v>
      </c>
      <c r="K14" s="440">
        <f>J14+35</f>
        <v>43881</v>
      </c>
      <c r="L14" s="359">
        <v>100000000</v>
      </c>
      <c r="M14" s="440">
        <f>J14+150</f>
        <v>43996</v>
      </c>
      <c r="N14" s="348">
        <v>0</v>
      </c>
      <c r="O14" s="348">
        <f>L14-N14</f>
        <v>100000000</v>
      </c>
      <c r="P14" s="440">
        <v>43970</v>
      </c>
      <c r="Q14" s="437" t="s">
        <v>147</v>
      </c>
      <c r="R14" s="93"/>
      <c r="S14" s="437"/>
    </row>
    <row r="15" spans="1:22" s="13" customFormat="1">
      <c r="A15" s="13">
        <v>56</v>
      </c>
      <c r="B15" s="13">
        <v>14</v>
      </c>
      <c r="C15" s="13">
        <v>5137</v>
      </c>
      <c r="D15" s="13" t="s">
        <v>632</v>
      </c>
      <c r="E15" s="13" t="s">
        <v>235</v>
      </c>
      <c r="F15" s="36" t="s">
        <v>324</v>
      </c>
      <c r="G15" s="36" t="s">
        <v>81</v>
      </c>
      <c r="H15" s="449">
        <v>43000000</v>
      </c>
      <c r="I15" s="289">
        <v>43000000</v>
      </c>
      <c r="J15" s="11">
        <v>43855</v>
      </c>
      <c r="K15" s="11">
        <f>J15+35</f>
        <v>43890</v>
      </c>
      <c r="L15" s="289">
        <v>43000000</v>
      </c>
      <c r="M15" s="11">
        <f>J15+180</f>
        <v>44035</v>
      </c>
      <c r="N15" s="289">
        <v>0</v>
      </c>
      <c r="O15" s="289">
        <f>L15-N15</f>
        <v>43000000</v>
      </c>
      <c r="P15" s="11">
        <v>44043</v>
      </c>
      <c r="Q15" s="13" t="s">
        <v>257</v>
      </c>
      <c r="R15" s="474" t="s">
        <v>654</v>
      </c>
      <c r="S15" s="437" t="s">
        <v>682</v>
      </c>
    </row>
    <row r="16" spans="1:22" s="13" customFormat="1">
      <c r="A16" s="13">
        <v>13</v>
      </c>
      <c r="B16" s="13">
        <v>15</v>
      </c>
      <c r="C16" s="13">
        <v>5107</v>
      </c>
      <c r="D16" s="13" t="s">
        <v>622</v>
      </c>
      <c r="E16" s="13" t="s">
        <v>310</v>
      </c>
      <c r="F16" s="36" t="s">
        <v>311</v>
      </c>
      <c r="G16" s="36" t="s">
        <v>312</v>
      </c>
      <c r="H16" s="449">
        <v>45000000</v>
      </c>
      <c r="I16" s="449">
        <f>H16</f>
        <v>45000000</v>
      </c>
      <c r="J16" s="11">
        <v>43838</v>
      </c>
      <c r="K16" s="11">
        <f>J16+35</f>
        <v>43873</v>
      </c>
      <c r="L16" s="289">
        <v>45000000</v>
      </c>
      <c r="M16" s="11">
        <f>J16+180</f>
        <v>44018</v>
      </c>
      <c r="N16" s="289">
        <v>0</v>
      </c>
      <c r="O16" s="289">
        <f>L16-N16</f>
        <v>45000000</v>
      </c>
      <c r="P16" s="11">
        <v>43981</v>
      </c>
      <c r="Q16" s="13" t="s">
        <v>220</v>
      </c>
      <c r="R16" s="474" t="s">
        <v>624</v>
      </c>
      <c r="S16" s="437" t="s">
        <v>606</v>
      </c>
    </row>
    <row r="17" spans="1:19" s="13" customFormat="1">
      <c r="A17" s="13">
        <v>14</v>
      </c>
      <c r="B17" s="13">
        <v>16</v>
      </c>
      <c r="C17" s="13" t="s">
        <v>502</v>
      </c>
      <c r="D17" s="13" t="s">
        <v>622</v>
      </c>
      <c r="E17" s="13" t="s">
        <v>369</v>
      </c>
      <c r="F17" s="36" t="s">
        <v>535</v>
      </c>
      <c r="G17" s="36" t="s">
        <v>80</v>
      </c>
      <c r="H17" s="66">
        <v>0</v>
      </c>
      <c r="I17" s="66"/>
      <c r="J17" s="11"/>
      <c r="K17" s="11"/>
      <c r="L17" s="27"/>
      <c r="M17" s="11"/>
      <c r="N17" s="27"/>
      <c r="O17" s="27"/>
      <c r="P17" s="11"/>
      <c r="Q17" s="13" t="s">
        <v>219</v>
      </c>
      <c r="R17" s="93" t="s">
        <v>629</v>
      </c>
    </row>
    <row r="18" spans="1:19" s="437" customFormat="1">
      <c r="A18" s="13">
        <v>15</v>
      </c>
      <c r="B18" s="13">
        <v>17</v>
      </c>
      <c r="C18" s="13" t="s">
        <v>503</v>
      </c>
      <c r="D18" s="13" t="s">
        <v>622</v>
      </c>
      <c r="E18" s="13" t="s">
        <v>235</v>
      </c>
      <c r="F18" s="36" t="s">
        <v>536</v>
      </c>
      <c r="G18" s="36" t="s">
        <v>81</v>
      </c>
      <c r="H18" s="449">
        <v>0</v>
      </c>
      <c r="I18" s="449"/>
      <c r="J18" s="11"/>
      <c r="K18" s="11"/>
      <c r="L18" s="289"/>
      <c r="M18" s="11"/>
      <c r="N18" s="289"/>
      <c r="O18" s="289"/>
      <c r="P18" s="11"/>
      <c r="Q18" s="13" t="s">
        <v>220</v>
      </c>
      <c r="R18" s="93" t="s">
        <v>636</v>
      </c>
      <c r="S18" s="13"/>
    </row>
    <row r="19" spans="1:19" s="13" customFormat="1">
      <c r="A19" s="13">
        <v>66</v>
      </c>
      <c r="B19" s="13">
        <v>20</v>
      </c>
      <c r="C19" s="13">
        <v>5146</v>
      </c>
      <c r="D19" s="13" t="s">
        <v>632</v>
      </c>
      <c r="E19" s="13" t="s">
        <v>235</v>
      </c>
      <c r="F19" s="36" t="s">
        <v>555</v>
      </c>
      <c r="G19" s="36" t="s">
        <v>81</v>
      </c>
      <c r="H19" s="449">
        <v>50000000</v>
      </c>
      <c r="I19" s="289">
        <f>H19</f>
        <v>50000000</v>
      </c>
      <c r="J19" s="11">
        <v>43860</v>
      </c>
      <c r="K19" s="11">
        <f>J19+35</f>
        <v>43895</v>
      </c>
      <c r="L19" s="289">
        <v>50000000</v>
      </c>
      <c r="M19" s="11">
        <f>J19+180</f>
        <v>44040</v>
      </c>
      <c r="N19" s="353">
        <v>0</v>
      </c>
      <c r="O19" s="289">
        <f>L19-N19</f>
        <v>50000000</v>
      </c>
      <c r="P19" s="11">
        <v>44047</v>
      </c>
      <c r="Q19" s="13" t="s">
        <v>257</v>
      </c>
      <c r="R19" s="474" t="s">
        <v>667</v>
      </c>
      <c r="S19" s="437" t="s">
        <v>840</v>
      </c>
    </row>
    <row r="20" spans="1:19" s="5" customFormat="1">
      <c r="A20" s="437">
        <v>22</v>
      </c>
      <c r="B20" s="437">
        <v>22</v>
      </c>
      <c r="C20" s="437">
        <v>5120</v>
      </c>
      <c r="D20" s="437" t="s">
        <v>622</v>
      </c>
      <c r="E20" s="437" t="s">
        <v>83</v>
      </c>
      <c r="F20" s="438" t="s">
        <v>537</v>
      </c>
      <c r="G20" s="438" t="s">
        <v>538</v>
      </c>
      <c r="H20" s="489">
        <v>100000000</v>
      </c>
      <c r="I20" s="489">
        <f>H20</f>
        <v>100000000</v>
      </c>
      <c r="J20" s="440">
        <v>43847</v>
      </c>
      <c r="K20" s="440">
        <f>J20+35</f>
        <v>43882</v>
      </c>
      <c r="L20" s="359">
        <v>100000000</v>
      </c>
      <c r="M20" s="440">
        <f>J20+150</f>
        <v>43997</v>
      </c>
      <c r="N20" s="359">
        <v>0</v>
      </c>
      <c r="O20" s="359">
        <f>L20-N20</f>
        <v>100000000</v>
      </c>
      <c r="P20" s="440">
        <v>43931</v>
      </c>
      <c r="Q20" s="437" t="s">
        <v>147</v>
      </c>
      <c r="R20" s="93"/>
      <c r="S20" s="437"/>
    </row>
    <row r="21" spans="1:19" s="5" customFormat="1">
      <c r="A21" s="13">
        <v>126</v>
      </c>
      <c r="B21" s="13">
        <v>24</v>
      </c>
      <c r="C21" s="13" t="s">
        <v>523</v>
      </c>
      <c r="D21" s="13" t="s">
        <v>622</v>
      </c>
      <c r="E21" s="13" t="s">
        <v>235</v>
      </c>
      <c r="F21" s="36" t="s">
        <v>586</v>
      </c>
      <c r="G21" s="36" t="s">
        <v>81</v>
      </c>
      <c r="H21" s="44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258</v>
      </c>
      <c r="R21" s="93" t="s">
        <v>772</v>
      </c>
      <c r="S21" s="13"/>
    </row>
    <row r="22" spans="1:19" s="437" customFormat="1">
      <c r="A22" s="13">
        <v>73</v>
      </c>
      <c r="B22" s="13">
        <v>25</v>
      </c>
      <c r="C22" s="13">
        <v>5152</v>
      </c>
      <c r="D22" s="13" t="s">
        <v>632</v>
      </c>
      <c r="E22" s="13" t="s">
        <v>235</v>
      </c>
      <c r="F22" s="36" t="s">
        <v>311</v>
      </c>
      <c r="G22" s="36" t="s">
        <v>81</v>
      </c>
      <c r="H22" s="449">
        <v>50000000</v>
      </c>
      <c r="I22" s="289">
        <v>50000000</v>
      </c>
      <c r="J22" s="11">
        <v>43866</v>
      </c>
      <c r="K22" s="11">
        <f t="shared" ref="K22:K35" si="0">J22+35</f>
        <v>43901</v>
      </c>
      <c r="L22" s="289">
        <v>50000000</v>
      </c>
      <c r="M22" s="11">
        <f>J22+180</f>
        <v>44046</v>
      </c>
      <c r="N22" s="353">
        <v>0</v>
      </c>
      <c r="O22" s="289">
        <f t="shared" ref="O22:O29" si="1">L22-N22</f>
        <v>50000000</v>
      </c>
      <c r="P22" s="11">
        <v>44050</v>
      </c>
      <c r="Q22" s="13" t="s">
        <v>257</v>
      </c>
      <c r="R22" s="474" t="s">
        <v>679</v>
      </c>
      <c r="S22" s="437" t="s">
        <v>841</v>
      </c>
    </row>
    <row r="23" spans="1:19" s="437" customFormat="1">
      <c r="A23" s="13">
        <v>20</v>
      </c>
      <c r="B23" s="13">
        <v>26</v>
      </c>
      <c r="C23" s="13">
        <v>5119</v>
      </c>
      <c r="D23" s="13" t="s">
        <v>622</v>
      </c>
      <c r="E23" s="13" t="s">
        <v>238</v>
      </c>
      <c r="F23" s="36" t="s">
        <v>309</v>
      </c>
      <c r="G23" s="36" t="s">
        <v>80</v>
      </c>
      <c r="H23" s="449">
        <v>40000000</v>
      </c>
      <c r="I23" s="449">
        <f>H23</f>
        <v>40000000</v>
      </c>
      <c r="J23" s="11">
        <v>43847</v>
      </c>
      <c r="K23" s="11">
        <f t="shared" si="0"/>
        <v>43882</v>
      </c>
      <c r="L23" s="289">
        <v>40000000</v>
      </c>
      <c r="M23" s="11">
        <f>J23+180</f>
        <v>44027</v>
      </c>
      <c r="N23" s="289">
        <v>0</v>
      </c>
      <c r="O23" s="289">
        <f t="shared" si="1"/>
        <v>40000000</v>
      </c>
      <c r="P23" s="11">
        <v>43978</v>
      </c>
      <c r="Q23" s="13" t="s">
        <v>219</v>
      </c>
      <c r="R23" s="474" t="s">
        <v>637</v>
      </c>
      <c r="S23" s="13"/>
    </row>
    <row r="24" spans="1:19" s="13" customFormat="1">
      <c r="A24" s="13">
        <v>79</v>
      </c>
      <c r="B24" s="13">
        <v>30</v>
      </c>
      <c r="C24" s="13">
        <v>5155</v>
      </c>
      <c r="D24" s="13" t="s">
        <v>632</v>
      </c>
      <c r="E24" s="13" t="s">
        <v>235</v>
      </c>
      <c r="F24" s="36" t="s">
        <v>562</v>
      </c>
      <c r="G24" s="36" t="s">
        <v>81</v>
      </c>
      <c r="H24" s="449">
        <v>35000000</v>
      </c>
      <c r="I24" s="289">
        <f>H24</f>
        <v>35000000</v>
      </c>
      <c r="J24" s="11">
        <v>43872</v>
      </c>
      <c r="K24" s="11">
        <f t="shared" si="0"/>
        <v>43907</v>
      </c>
      <c r="L24" s="289">
        <v>35000000</v>
      </c>
      <c r="M24" s="11">
        <f>J24+180</f>
        <v>44052</v>
      </c>
      <c r="N24" s="353">
        <v>30700425.969999999</v>
      </c>
      <c r="O24" s="353">
        <f t="shared" si="1"/>
        <v>4299574.0300000012</v>
      </c>
      <c r="P24" s="11">
        <v>44056</v>
      </c>
      <c r="Q24" s="13" t="s">
        <v>257</v>
      </c>
      <c r="R24" s="474" t="s">
        <v>688</v>
      </c>
      <c r="S24" s="437" t="s">
        <v>841</v>
      </c>
    </row>
    <row r="25" spans="1:19" s="13" customFormat="1">
      <c r="A25" s="13">
        <v>133</v>
      </c>
      <c r="B25" s="13">
        <v>34</v>
      </c>
      <c r="C25" s="13">
        <v>5190</v>
      </c>
      <c r="D25" s="13" t="s">
        <v>632</v>
      </c>
      <c r="E25" s="13" t="s">
        <v>374</v>
      </c>
      <c r="F25" s="36" t="s">
        <v>592</v>
      </c>
      <c r="G25" s="36" t="s">
        <v>375</v>
      </c>
      <c r="H25" s="449">
        <v>40000000</v>
      </c>
      <c r="I25" s="289">
        <v>40000000</v>
      </c>
      <c r="J25" s="11">
        <v>43993</v>
      </c>
      <c r="K25" s="11">
        <f t="shared" si="0"/>
        <v>44028</v>
      </c>
      <c r="L25" s="289">
        <v>40000000</v>
      </c>
      <c r="M25" s="11">
        <f>J25+180</f>
        <v>44173</v>
      </c>
      <c r="N25" s="289">
        <v>40000000</v>
      </c>
      <c r="O25" s="289">
        <f t="shared" si="1"/>
        <v>0</v>
      </c>
      <c r="P25" s="11">
        <v>44113</v>
      </c>
      <c r="Q25" s="13" t="s">
        <v>258</v>
      </c>
      <c r="R25" s="474" t="s">
        <v>777</v>
      </c>
    </row>
    <row r="26" spans="1:19" s="13" customFormat="1">
      <c r="A26" s="437">
        <v>35</v>
      </c>
      <c r="B26" s="437">
        <v>35</v>
      </c>
      <c r="C26" s="437">
        <v>5130</v>
      </c>
      <c r="D26" s="437" t="s">
        <v>622</v>
      </c>
      <c r="E26" s="437" t="s">
        <v>240</v>
      </c>
      <c r="F26" s="438" t="s">
        <v>241</v>
      </c>
      <c r="G26" s="438" t="s">
        <v>242</v>
      </c>
      <c r="H26" s="489">
        <v>80000000</v>
      </c>
      <c r="I26" s="489">
        <f>H26</f>
        <v>80000000</v>
      </c>
      <c r="J26" s="440">
        <v>43852</v>
      </c>
      <c r="K26" s="440">
        <f t="shared" si="0"/>
        <v>43887</v>
      </c>
      <c r="L26" s="359">
        <v>80000000</v>
      </c>
      <c r="M26" s="440">
        <f>J26+150</f>
        <v>44002</v>
      </c>
      <c r="N26" s="359">
        <v>0</v>
      </c>
      <c r="O26" s="359">
        <f t="shared" si="1"/>
        <v>80000000</v>
      </c>
      <c r="P26" s="440">
        <v>43915</v>
      </c>
      <c r="Q26" s="437" t="s">
        <v>147</v>
      </c>
      <c r="R26" s="93"/>
      <c r="S26" s="437"/>
    </row>
    <row r="27" spans="1:19" s="13" customFormat="1">
      <c r="A27" s="437">
        <v>38</v>
      </c>
      <c r="B27" s="437">
        <v>38</v>
      </c>
      <c r="C27" s="437">
        <v>5131</v>
      </c>
      <c r="D27" s="437" t="s">
        <v>622</v>
      </c>
      <c r="E27" s="437" t="s">
        <v>236</v>
      </c>
      <c r="F27" s="438" t="s">
        <v>317</v>
      </c>
      <c r="G27" s="438" t="s">
        <v>237</v>
      </c>
      <c r="H27" s="489">
        <v>100000000</v>
      </c>
      <c r="I27" s="489">
        <v>100000000</v>
      </c>
      <c r="J27" s="440">
        <v>43852</v>
      </c>
      <c r="K27" s="440">
        <f t="shared" si="0"/>
        <v>43887</v>
      </c>
      <c r="L27" s="359">
        <v>100000000</v>
      </c>
      <c r="M27" s="440">
        <f>J27+150</f>
        <v>44002</v>
      </c>
      <c r="N27" s="359">
        <v>0</v>
      </c>
      <c r="O27" s="359">
        <f t="shared" si="1"/>
        <v>100000000</v>
      </c>
      <c r="P27" s="440">
        <v>43970</v>
      </c>
      <c r="Q27" s="437" t="s">
        <v>147</v>
      </c>
      <c r="R27" s="93"/>
      <c r="S27" s="437"/>
    </row>
    <row r="28" spans="1:19" s="13" customFormat="1">
      <c r="A28" s="13">
        <v>84</v>
      </c>
      <c r="B28" s="13">
        <v>39</v>
      </c>
      <c r="C28" s="13">
        <v>5166</v>
      </c>
      <c r="D28" s="13" t="s">
        <v>632</v>
      </c>
      <c r="E28" s="13" t="s">
        <v>235</v>
      </c>
      <c r="F28" s="36" t="s">
        <v>564</v>
      </c>
      <c r="G28" s="36" t="s">
        <v>81</v>
      </c>
      <c r="H28" s="449">
        <v>35000000</v>
      </c>
      <c r="I28" s="289">
        <f>H28</f>
        <v>35000000</v>
      </c>
      <c r="J28" s="11">
        <v>43895</v>
      </c>
      <c r="K28" s="11">
        <f t="shared" si="0"/>
        <v>43930</v>
      </c>
      <c r="L28" s="289">
        <v>35000000</v>
      </c>
      <c r="M28" s="11">
        <f t="shared" ref="M28:M33" si="2">J28+180</f>
        <v>44075</v>
      </c>
      <c r="N28" s="289">
        <f>27310000+4640000</f>
        <v>31950000</v>
      </c>
      <c r="O28" s="289">
        <f t="shared" si="1"/>
        <v>3050000</v>
      </c>
      <c r="P28" s="11">
        <v>44082</v>
      </c>
      <c r="Q28" s="13" t="s">
        <v>257</v>
      </c>
      <c r="R28" s="474" t="s">
        <v>715</v>
      </c>
      <c r="S28" s="210"/>
    </row>
    <row r="29" spans="1:19" s="437" customFormat="1">
      <c r="A29" s="13">
        <v>135</v>
      </c>
      <c r="B29" s="13">
        <v>40</v>
      </c>
      <c r="C29" s="13">
        <v>5194</v>
      </c>
      <c r="D29" s="13" t="s">
        <v>622</v>
      </c>
      <c r="E29" s="13" t="s">
        <v>239</v>
      </c>
      <c r="F29" s="36" t="s">
        <v>593</v>
      </c>
      <c r="G29" s="36" t="s">
        <v>246</v>
      </c>
      <c r="H29" s="449">
        <v>20000000</v>
      </c>
      <c r="I29" s="289">
        <v>20000000</v>
      </c>
      <c r="J29" s="11">
        <v>44012</v>
      </c>
      <c r="K29" s="11">
        <f t="shared" si="0"/>
        <v>44047</v>
      </c>
      <c r="L29" s="289">
        <v>20000000</v>
      </c>
      <c r="M29" s="11">
        <f t="shared" si="2"/>
        <v>44192</v>
      </c>
      <c r="N29" s="289">
        <v>0</v>
      </c>
      <c r="O29" s="289">
        <f t="shared" si="1"/>
        <v>20000000</v>
      </c>
      <c r="P29" s="11">
        <v>44155</v>
      </c>
      <c r="Q29" s="13" t="s">
        <v>258</v>
      </c>
      <c r="R29" s="474" t="s">
        <v>794</v>
      </c>
      <c r="S29" s="13"/>
    </row>
    <row r="30" spans="1:19" s="13" customFormat="1">
      <c r="A30" s="13">
        <v>30</v>
      </c>
      <c r="B30" s="13">
        <v>42</v>
      </c>
      <c r="C30" s="13">
        <v>5123</v>
      </c>
      <c r="D30" s="13" t="s">
        <v>622</v>
      </c>
      <c r="E30" s="13" t="s">
        <v>164</v>
      </c>
      <c r="F30" s="36" t="s">
        <v>539</v>
      </c>
      <c r="G30" s="36" t="s">
        <v>80</v>
      </c>
      <c r="H30" s="449">
        <v>12000000</v>
      </c>
      <c r="I30" s="449">
        <f>H30</f>
        <v>12000000</v>
      </c>
      <c r="J30" s="11">
        <v>43851</v>
      </c>
      <c r="K30" s="11">
        <f t="shared" si="0"/>
        <v>43886</v>
      </c>
      <c r="L30" s="289">
        <v>12000000</v>
      </c>
      <c r="M30" s="11">
        <f t="shared" si="2"/>
        <v>44031</v>
      </c>
      <c r="N30" s="289">
        <v>0</v>
      </c>
      <c r="O30" s="289">
        <f t="shared" ref="O30:O35" si="3">L30-N30</f>
        <v>12000000</v>
      </c>
      <c r="P30" s="11">
        <v>44027</v>
      </c>
      <c r="Q30" s="13" t="s">
        <v>220</v>
      </c>
      <c r="R30" s="474" t="s">
        <v>631</v>
      </c>
      <c r="S30" s="437" t="s">
        <v>640</v>
      </c>
    </row>
    <row r="31" spans="1:19" s="13" customFormat="1">
      <c r="A31" s="13">
        <v>33</v>
      </c>
      <c r="B31" s="13">
        <v>45</v>
      </c>
      <c r="C31" s="13">
        <v>5124</v>
      </c>
      <c r="D31" s="13" t="s">
        <v>632</v>
      </c>
      <c r="E31" s="13" t="s">
        <v>155</v>
      </c>
      <c r="F31" s="36" t="s">
        <v>540</v>
      </c>
      <c r="G31" s="36" t="s">
        <v>81</v>
      </c>
      <c r="H31" s="449">
        <v>30000000</v>
      </c>
      <c r="I31" s="449">
        <f>H31</f>
        <v>30000000</v>
      </c>
      <c r="J31" s="11">
        <v>43851</v>
      </c>
      <c r="K31" s="11">
        <f t="shared" si="0"/>
        <v>43886</v>
      </c>
      <c r="L31" s="289">
        <v>30000000</v>
      </c>
      <c r="M31" s="11">
        <f t="shared" si="2"/>
        <v>44031</v>
      </c>
      <c r="N31" s="289">
        <v>18823000</v>
      </c>
      <c r="O31" s="289">
        <f t="shared" si="3"/>
        <v>11177000</v>
      </c>
      <c r="P31" s="11">
        <v>44014</v>
      </c>
      <c r="Q31" s="13" t="s">
        <v>219</v>
      </c>
      <c r="R31" s="474" t="s">
        <v>639</v>
      </c>
    </row>
    <row r="32" spans="1:19" s="13" customFormat="1">
      <c r="A32" s="13">
        <v>34</v>
      </c>
      <c r="B32" s="13">
        <v>46</v>
      </c>
      <c r="C32" s="13">
        <v>5129</v>
      </c>
      <c r="D32" s="13" t="s">
        <v>632</v>
      </c>
      <c r="E32" s="13" t="s">
        <v>238</v>
      </c>
      <c r="F32" s="36" t="s">
        <v>541</v>
      </c>
      <c r="G32" s="36" t="s">
        <v>542</v>
      </c>
      <c r="H32" s="449">
        <v>35000000</v>
      </c>
      <c r="I32" s="449">
        <f>H32</f>
        <v>35000000</v>
      </c>
      <c r="J32" s="11">
        <v>43852</v>
      </c>
      <c r="K32" s="11">
        <f t="shared" si="0"/>
        <v>43887</v>
      </c>
      <c r="L32" s="289">
        <v>35000000</v>
      </c>
      <c r="M32" s="11">
        <f t="shared" si="2"/>
        <v>44032</v>
      </c>
      <c r="N32" s="289">
        <v>20850000</v>
      </c>
      <c r="O32" s="289">
        <f t="shared" si="3"/>
        <v>14150000</v>
      </c>
      <c r="P32" s="11">
        <v>44029</v>
      </c>
      <c r="Q32" s="13" t="s">
        <v>219</v>
      </c>
      <c r="R32" s="474" t="s">
        <v>641</v>
      </c>
    </row>
    <row r="33" spans="1:19" s="5" customFormat="1">
      <c r="A33" s="13">
        <v>39</v>
      </c>
      <c r="B33" s="13">
        <v>49</v>
      </c>
      <c r="C33" s="13">
        <v>5132</v>
      </c>
      <c r="D33" s="13" t="s">
        <v>622</v>
      </c>
      <c r="E33" s="13" t="s">
        <v>323</v>
      </c>
      <c r="F33" s="36" t="s">
        <v>543</v>
      </c>
      <c r="G33" s="36" t="s">
        <v>78</v>
      </c>
      <c r="H33" s="449">
        <v>30000000</v>
      </c>
      <c r="I33" s="449">
        <f>H33</f>
        <v>30000000</v>
      </c>
      <c r="J33" s="11">
        <v>43852</v>
      </c>
      <c r="K33" s="11">
        <f t="shared" si="0"/>
        <v>43887</v>
      </c>
      <c r="L33" s="289">
        <v>30000000</v>
      </c>
      <c r="M33" s="11">
        <f t="shared" si="2"/>
        <v>44032</v>
      </c>
      <c r="N33" s="289">
        <v>0</v>
      </c>
      <c r="O33" s="289">
        <f t="shared" si="3"/>
        <v>30000000</v>
      </c>
      <c r="P33" s="11">
        <v>43931</v>
      </c>
      <c r="Q33" s="13" t="s">
        <v>219</v>
      </c>
      <c r="R33" s="474" t="s">
        <v>641</v>
      </c>
      <c r="S33" s="13"/>
    </row>
    <row r="34" spans="1:19" s="13" customFormat="1">
      <c r="A34" s="437">
        <v>51</v>
      </c>
      <c r="B34" s="437">
        <v>51</v>
      </c>
      <c r="C34" s="437">
        <v>5134</v>
      </c>
      <c r="D34" s="437" t="s">
        <v>632</v>
      </c>
      <c r="E34" s="437" t="s">
        <v>83</v>
      </c>
      <c r="F34" s="438" t="s">
        <v>548</v>
      </c>
      <c r="G34" s="438" t="s">
        <v>549</v>
      </c>
      <c r="H34" s="489">
        <v>50000000</v>
      </c>
      <c r="I34" s="489">
        <v>50000000</v>
      </c>
      <c r="J34" s="440">
        <v>43853</v>
      </c>
      <c r="K34" s="440">
        <f t="shared" si="0"/>
        <v>43888</v>
      </c>
      <c r="L34" s="359">
        <v>50000000</v>
      </c>
      <c r="M34" s="440">
        <f>J34+150</f>
        <v>44003</v>
      </c>
      <c r="N34" s="359">
        <v>15000000</v>
      </c>
      <c r="O34" s="359">
        <f t="shared" si="3"/>
        <v>35000000</v>
      </c>
      <c r="P34" s="440">
        <v>44000</v>
      </c>
      <c r="Q34" s="437" t="s">
        <v>147</v>
      </c>
      <c r="R34" s="93"/>
      <c r="S34" s="437" t="s">
        <v>653</v>
      </c>
    </row>
    <row r="35" spans="1:19" s="5" customFormat="1">
      <c r="A35" s="13">
        <v>42</v>
      </c>
      <c r="B35" s="13">
        <v>54</v>
      </c>
      <c r="C35" s="13">
        <v>5133</v>
      </c>
      <c r="D35" s="13" t="s">
        <v>622</v>
      </c>
      <c r="E35" s="13" t="s">
        <v>251</v>
      </c>
      <c r="F35" s="36" t="s">
        <v>345</v>
      </c>
      <c r="G35" s="36" t="s">
        <v>80</v>
      </c>
      <c r="H35" s="449">
        <v>55200000</v>
      </c>
      <c r="I35" s="449">
        <v>55200000</v>
      </c>
      <c r="J35" s="11">
        <v>43853</v>
      </c>
      <c r="K35" s="11">
        <f t="shared" si="0"/>
        <v>43888</v>
      </c>
      <c r="L35" s="289">
        <v>55200000</v>
      </c>
      <c r="M35" s="11">
        <f>J35+180</f>
        <v>44033</v>
      </c>
      <c r="N35" s="289">
        <v>0</v>
      </c>
      <c r="O35" s="289">
        <f t="shared" si="3"/>
        <v>55200000</v>
      </c>
      <c r="P35" s="11">
        <v>43952</v>
      </c>
      <c r="Q35" s="13" t="s">
        <v>287</v>
      </c>
      <c r="R35" s="474" t="s">
        <v>649</v>
      </c>
      <c r="S35" s="13"/>
    </row>
    <row r="36" spans="1:19" s="5" customFormat="1">
      <c r="A36" s="13">
        <v>47</v>
      </c>
      <c r="B36" s="13">
        <v>58</v>
      </c>
      <c r="C36" s="13" t="s">
        <v>505</v>
      </c>
      <c r="D36" s="13" t="s">
        <v>622</v>
      </c>
      <c r="E36" s="13" t="s">
        <v>369</v>
      </c>
      <c r="F36" s="36" t="s">
        <v>545</v>
      </c>
      <c r="G36" s="36" t="s">
        <v>80</v>
      </c>
      <c r="H36" s="449">
        <v>0</v>
      </c>
      <c r="I36" s="449"/>
      <c r="J36" s="11"/>
      <c r="K36" s="11"/>
      <c r="L36" s="289"/>
      <c r="M36" s="11"/>
      <c r="N36" s="289"/>
      <c r="O36" s="289"/>
      <c r="P36" s="11"/>
      <c r="Q36" s="13" t="s">
        <v>287</v>
      </c>
      <c r="R36" s="93" t="s">
        <v>642</v>
      </c>
      <c r="S36" s="13"/>
    </row>
    <row r="37" spans="1:19" s="13" customFormat="1">
      <c r="A37" s="13">
        <v>50</v>
      </c>
      <c r="B37" s="13">
        <v>61</v>
      </c>
      <c r="C37" s="13" t="s">
        <v>506</v>
      </c>
      <c r="D37" s="13" t="s">
        <v>622</v>
      </c>
      <c r="E37" s="13" t="s">
        <v>238</v>
      </c>
      <c r="F37" s="36" t="s">
        <v>546</v>
      </c>
      <c r="G37" s="36" t="s">
        <v>547</v>
      </c>
      <c r="H37" s="449">
        <v>0</v>
      </c>
      <c r="I37" s="449"/>
      <c r="J37" s="11"/>
      <c r="K37" s="11"/>
      <c r="L37" s="289"/>
      <c r="M37" s="11"/>
      <c r="N37" s="289"/>
      <c r="O37" s="289"/>
      <c r="P37" s="11"/>
      <c r="Q37" s="13" t="s">
        <v>287</v>
      </c>
      <c r="R37" s="93" t="s">
        <v>642</v>
      </c>
    </row>
    <row r="38" spans="1:19" s="13" customFormat="1">
      <c r="A38" s="13">
        <v>52</v>
      </c>
      <c r="B38" s="13">
        <v>62</v>
      </c>
      <c r="C38" s="13">
        <v>5136</v>
      </c>
      <c r="D38" s="13" t="s">
        <v>622</v>
      </c>
      <c r="E38" s="13" t="s">
        <v>369</v>
      </c>
      <c r="F38" s="36" t="s">
        <v>300</v>
      </c>
      <c r="G38" s="36" t="s">
        <v>80</v>
      </c>
      <c r="H38" s="449">
        <v>50000000</v>
      </c>
      <c r="I38" s="449">
        <v>50000000</v>
      </c>
      <c r="J38" s="11">
        <v>43855</v>
      </c>
      <c r="K38" s="11">
        <f>J38+35</f>
        <v>43890</v>
      </c>
      <c r="L38" s="289">
        <v>50000000</v>
      </c>
      <c r="M38" s="11">
        <f>J38+180</f>
        <v>44035</v>
      </c>
      <c r="N38" s="289">
        <v>0</v>
      </c>
      <c r="O38" s="289">
        <f>L38-N38</f>
        <v>50000000</v>
      </c>
      <c r="P38" s="11">
        <v>43952</v>
      </c>
      <c r="Q38" s="13" t="s">
        <v>287</v>
      </c>
      <c r="R38" s="474" t="s">
        <v>654</v>
      </c>
    </row>
    <row r="39" spans="1:19" s="5" customFormat="1">
      <c r="A39" s="13">
        <v>53</v>
      </c>
      <c r="B39" s="13">
        <v>63</v>
      </c>
      <c r="C39" s="13" t="s">
        <v>507</v>
      </c>
      <c r="D39" s="13" t="s">
        <v>622</v>
      </c>
      <c r="E39" s="13" t="s">
        <v>369</v>
      </c>
      <c r="F39" s="36" t="s">
        <v>299</v>
      </c>
      <c r="G39" s="36" t="s">
        <v>80</v>
      </c>
      <c r="H39" s="449">
        <v>0</v>
      </c>
      <c r="I39" s="449"/>
      <c r="J39" s="11"/>
      <c r="K39" s="11"/>
      <c r="L39" s="289"/>
      <c r="M39" s="11"/>
      <c r="N39" s="289"/>
      <c r="O39" s="289"/>
      <c r="P39" s="11"/>
      <c r="Q39" s="13" t="s">
        <v>287</v>
      </c>
      <c r="R39" s="93" t="s">
        <v>655</v>
      </c>
      <c r="S39" s="13"/>
    </row>
    <row r="40" spans="1:19" s="5" customFormat="1">
      <c r="A40" s="13">
        <v>55</v>
      </c>
      <c r="B40" s="13">
        <v>65</v>
      </c>
      <c r="C40" s="13" t="s">
        <v>508</v>
      </c>
      <c r="D40" s="13" t="s">
        <v>622</v>
      </c>
      <c r="E40" s="13" t="s">
        <v>244</v>
      </c>
      <c r="F40" s="36" t="s">
        <v>550</v>
      </c>
      <c r="G40" s="36" t="s">
        <v>142</v>
      </c>
      <c r="H40" s="449">
        <v>0</v>
      </c>
      <c r="I40" s="289"/>
      <c r="J40" s="11"/>
      <c r="K40" s="11"/>
      <c r="L40" s="289"/>
      <c r="M40" s="11"/>
      <c r="N40" s="289"/>
      <c r="O40" s="289"/>
      <c r="P40" s="11"/>
      <c r="Q40" s="13" t="s">
        <v>287</v>
      </c>
      <c r="R40" s="93" t="s">
        <v>655</v>
      </c>
      <c r="S40" s="13"/>
    </row>
    <row r="41" spans="1:19" s="5" customFormat="1">
      <c r="A41" s="13">
        <v>58</v>
      </c>
      <c r="B41" s="13">
        <v>67</v>
      </c>
      <c r="C41" s="13">
        <v>5138</v>
      </c>
      <c r="D41" s="13" t="s">
        <v>622</v>
      </c>
      <c r="E41" s="13" t="s">
        <v>369</v>
      </c>
      <c r="F41" s="36" t="s">
        <v>296</v>
      </c>
      <c r="G41" s="36" t="s">
        <v>80</v>
      </c>
      <c r="H41" s="449">
        <v>30000000</v>
      </c>
      <c r="I41" s="289">
        <v>30000000</v>
      </c>
      <c r="J41" s="11">
        <v>43855</v>
      </c>
      <c r="K41" s="11">
        <f>J41+35</f>
        <v>43890</v>
      </c>
      <c r="L41" s="289">
        <v>30000000</v>
      </c>
      <c r="M41" s="11">
        <f>J41+180</f>
        <v>44035</v>
      </c>
      <c r="N41" s="289">
        <v>0</v>
      </c>
      <c r="O41" s="289">
        <f>L41-N41</f>
        <v>30000000</v>
      </c>
      <c r="P41" s="11">
        <v>43952</v>
      </c>
      <c r="Q41" s="13" t="s">
        <v>287</v>
      </c>
      <c r="R41" s="474" t="s">
        <v>654</v>
      </c>
      <c r="S41" s="13"/>
    </row>
    <row r="42" spans="1:19" s="13" customFormat="1">
      <c r="A42" s="13">
        <v>60</v>
      </c>
      <c r="B42" s="13">
        <v>69</v>
      </c>
      <c r="C42" s="13">
        <v>5141</v>
      </c>
      <c r="D42" s="13" t="s">
        <v>622</v>
      </c>
      <c r="E42" s="13" t="s">
        <v>244</v>
      </c>
      <c r="F42" s="36" t="s">
        <v>325</v>
      </c>
      <c r="G42" s="36" t="s">
        <v>142</v>
      </c>
      <c r="H42" s="449">
        <v>40000000</v>
      </c>
      <c r="I42" s="289">
        <v>40000000</v>
      </c>
      <c r="J42" s="11">
        <v>43858</v>
      </c>
      <c r="K42" s="11">
        <f>J42+35</f>
        <v>43893</v>
      </c>
      <c r="L42" s="289">
        <v>40000000</v>
      </c>
      <c r="M42" s="11">
        <f>J42+180</f>
        <v>44038</v>
      </c>
      <c r="N42" s="289">
        <v>0</v>
      </c>
      <c r="O42" s="289">
        <f>L42-N42</f>
        <v>40000000</v>
      </c>
      <c r="P42" s="11">
        <v>44035</v>
      </c>
      <c r="Q42" s="13" t="s">
        <v>287</v>
      </c>
      <c r="R42" s="474" t="s">
        <v>658</v>
      </c>
    </row>
    <row r="43" spans="1:19" s="13" customFormat="1">
      <c r="A43" s="13">
        <v>61</v>
      </c>
      <c r="B43" s="13">
        <v>70</v>
      </c>
      <c r="C43" s="13">
        <v>5142</v>
      </c>
      <c r="D43" s="13" t="s">
        <v>632</v>
      </c>
      <c r="E43" s="13" t="s">
        <v>244</v>
      </c>
      <c r="F43" s="36" t="s">
        <v>551</v>
      </c>
      <c r="G43" s="36" t="s">
        <v>142</v>
      </c>
      <c r="H43" s="449">
        <v>50000000</v>
      </c>
      <c r="I43" s="289">
        <v>50000000</v>
      </c>
      <c r="J43" s="11">
        <v>43858</v>
      </c>
      <c r="K43" s="11">
        <f>J43+35</f>
        <v>43893</v>
      </c>
      <c r="L43" s="289">
        <v>50000000</v>
      </c>
      <c r="M43" s="11">
        <f>J43+180</f>
        <v>44038</v>
      </c>
      <c r="N43" s="289">
        <v>38000000</v>
      </c>
      <c r="O43" s="289">
        <f>L43-N43</f>
        <v>12000000</v>
      </c>
      <c r="P43" s="11">
        <v>44035</v>
      </c>
      <c r="Q43" s="13" t="s">
        <v>287</v>
      </c>
      <c r="R43" s="474" t="s">
        <v>658</v>
      </c>
    </row>
    <row r="44" spans="1:19" s="5" customFormat="1">
      <c r="A44" s="13">
        <v>63</v>
      </c>
      <c r="B44" s="13">
        <v>72</v>
      </c>
      <c r="C44" s="13" t="s">
        <v>509</v>
      </c>
      <c r="D44" s="13" t="s">
        <v>622</v>
      </c>
      <c r="E44" s="13" t="s">
        <v>369</v>
      </c>
      <c r="F44" s="36" t="s">
        <v>552</v>
      </c>
      <c r="G44" s="36" t="s">
        <v>80</v>
      </c>
      <c r="H44" s="449">
        <v>0</v>
      </c>
      <c r="I44" s="289"/>
      <c r="J44" s="11"/>
      <c r="K44" s="11"/>
      <c r="L44" s="353"/>
      <c r="M44" s="11"/>
      <c r="N44" s="289"/>
      <c r="O44" s="289"/>
      <c r="P44" s="11"/>
      <c r="Q44" s="13" t="s">
        <v>287</v>
      </c>
      <c r="R44" s="93" t="s">
        <v>656</v>
      </c>
      <c r="S44" s="13"/>
    </row>
    <row r="45" spans="1:19" s="13" customFormat="1">
      <c r="A45" s="13">
        <v>64</v>
      </c>
      <c r="B45" s="13">
        <v>73</v>
      </c>
      <c r="C45" s="13" t="s">
        <v>510</v>
      </c>
      <c r="D45" s="13" t="s">
        <v>622</v>
      </c>
      <c r="E45" s="13" t="s">
        <v>316</v>
      </c>
      <c r="F45" s="36" t="s">
        <v>553</v>
      </c>
      <c r="G45" s="36" t="s">
        <v>79</v>
      </c>
      <c r="H45" s="449">
        <v>0</v>
      </c>
      <c r="I45" s="289"/>
      <c r="J45" s="11"/>
      <c r="K45" s="11"/>
      <c r="L45" s="289"/>
      <c r="M45" s="11"/>
      <c r="N45" s="289"/>
      <c r="O45" s="289"/>
      <c r="P45" s="11"/>
      <c r="Q45" s="13" t="s">
        <v>287</v>
      </c>
      <c r="R45" s="93" t="s">
        <v>656</v>
      </c>
    </row>
    <row r="46" spans="1:19" s="13" customFormat="1">
      <c r="A46" s="13">
        <v>65</v>
      </c>
      <c r="B46" s="13">
        <v>74</v>
      </c>
      <c r="C46" s="13">
        <v>5144</v>
      </c>
      <c r="D46" s="13" t="s">
        <v>632</v>
      </c>
      <c r="E46" s="13" t="s">
        <v>316</v>
      </c>
      <c r="F46" s="36" t="s">
        <v>554</v>
      </c>
      <c r="G46" s="36" t="s">
        <v>79</v>
      </c>
      <c r="H46" s="449">
        <v>45000000</v>
      </c>
      <c r="I46" s="289">
        <f>H46</f>
        <v>45000000</v>
      </c>
      <c r="J46" s="11">
        <v>43859</v>
      </c>
      <c r="K46" s="11">
        <f>J46+35</f>
        <v>43894</v>
      </c>
      <c r="L46" s="289">
        <v>45000000</v>
      </c>
      <c r="M46" s="11">
        <f>J46+180</f>
        <v>44039</v>
      </c>
      <c r="N46" s="289">
        <v>0</v>
      </c>
      <c r="O46" s="289">
        <f>L46-N46</f>
        <v>45000000</v>
      </c>
      <c r="P46" s="11">
        <v>44044</v>
      </c>
      <c r="Q46" s="13" t="s">
        <v>287</v>
      </c>
      <c r="R46" s="474" t="s">
        <v>662</v>
      </c>
      <c r="S46" s="437" t="s">
        <v>834</v>
      </c>
    </row>
    <row r="47" spans="1:19" s="13" customFormat="1">
      <c r="A47" s="13">
        <v>67</v>
      </c>
      <c r="B47" s="13">
        <v>75</v>
      </c>
      <c r="C47" s="13">
        <v>5148</v>
      </c>
      <c r="D47" s="13" t="s">
        <v>632</v>
      </c>
      <c r="E47" s="13" t="s">
        <v>369</v>
      </c>
      <c r="F47" s="36" t="s">
        <v>556</v>
      </c>
      <c r="G47" s="36" t="s">
        <v>243</v>
      </c>
      <c r="H47" s="449">
        <v>45000000</v>
      </c>
      <c r="I47" s="289">
        <f>H47</f>
        <v>45000000</v>
      </c>
      <c r="J47" s="11">
        <v>43861</v>
      </c>
      <c r="K47" s="11">
        <f>J47+35</f>
        <v>43896</v>
      </c>
      <c r="L47" s="289">
        <v>45000000</v>
      </c>
      <c r="M47" s="11">
        <f>J47+180</f>
        <v>44041</v>
      </c>
      <c r="N47" s="289">
        <v>36500000</v>
      </c>
      <c r="O47" s="289">
        <f>L47-N47</f>
        <v>8500000</v>
      </c>
      <c r="P47" s="11">
        <v>44030</v>
      </c>
      <c r="Q47" s="13" t="s">
        <v>287</v>
      </c>
      <c r="R47" s="474" t="s">
        <v>671</v>
      </c>
    </row>
    <row r="48" spans="1:19" s="13" customFormat="1">
      <c r="A48" s="13">
        <v>69</v>
      </c>
      <c r="B48" s="13">
        <v>77</v>
      </c>
      <c r="C48" s="13">
        <v>5149</v>
      </c>
      <c r="D48" s="13" t="s">
        <v>632</v>
      </c>
      <c r="E48" s="13" t="s">
        <v>316</v>
      </c>
      <c r="F48" s="36" t="s">
        <v>557</v>
      </c>
      <c r="G48" s="36" t="s">
        <v>79</v>
      </c>
      <c r="H48" s="449">
        <v>24800000</v>
      </c>
      <c r="I48" s="289">
        <f>H48</f>
        <v>24800000</v>
      </c>
      <c r="J48" s="11">
        <v>43861</v>
      </c>
      <c r="K48" s="11">
        <f>J48+35</f>
        <v>43896</v>
      </c>
      <c r="L48" s="289">
        <v>24800000</v>
      </c>
      <c r="M48" s="11">
        <f>J48+180</f>
        <v>44041</v>
      </c>
      <c r="N48" s="289">
        <v>0</v>
      </c>
      <c r="O48" s="289">
        <f>L48-N48</f>
        <v>24800000</v>
      </c>
      <c r="P48" s="11">
        <v>44044</v>
      </c>
      <c r="Q48" s="13" t="s">
        <v>287</v>
      </c>
      <c r="R48" s="474" t="s">
        <v>671</v>
      </c>
      <c r="S48" s="437" t="s">
        <v>672</v>
      </c>
    </row>
    <row r="49" spans="1:19" s="5" customFormat="1">
      <c r="A49" s="13">
        <v>70</v>
      </c>
      <c r="B49" s="13">
        <v>78</v>
      </c>
      <c r="C49" s="13" t="s">
        <v>511</v>
      </c>
      <c r="D49" s="13" t="s">
        <v>622</v>
      </c>
      <c r="E49" s="13" t="s">
        <v>369</v>
      </c>
      <c r="F49" s="36" t="s">
        <v>558</v>
      </c>
      <c r="G49" s="36" t="s">
        <v>559</v>
      </c>
      <c r="H49" s="449">
        <v>0</v>
      </c>
      <c r="I49" s="289"/>
      <c r="J49" s="11"/>
      <c r="K49" s="11"/>
      <c r="L49" s="289"/>
      <c r="M49" s="11"/>
      <c r="N49" s="289"/>
      <c r="O49" s="289"/>
      <c r="P49" s="11"/>
      <c r="Q49" s="13" t="s">
        <v>287</v>
      </c>
      <c r="R49" s="93" t="s">
        <v>669</v>
      </c>
      <c r="S49" s="13"/>
    </row>
    <row r="50" spans="1:19" s="13" customFormat="1">
      <c r="A50" s="13">
        <v>74</v>
      </c>
      <c r="B50" s="13">
        <v>81</v>
      </c>
      <c r="C50" s="13" t="s">
        <v>512</v>
      </c>
      <c r="D50" s="13" t="s">
        <v>622</v>
      </c>
      <c r="E50" s="13" t="s">
        <v>369</v>
      </c>
      <c r="F50" s="36" t="s">
        <v>560</v>
      </c>
      <c r="G50" s="36" t="s">
        <v>80</v>
      </c>
      <c r="H50" s="449">
        <v>0</v>
      </c>
      <c r="I50" s="289"/>
      <c r="J50" s="11"/>
      <c r="K50" s="11"/>
      <c r="L50" s="289"/>
      <c r="M50" s="11"/>
      <c r="N50" s="289"/>
      <c r="O50" s="289"/>
      <c r="P50" s="11"/>
      <c r="Q50" s="13" t="s">
        <v>287</v>
      </c>
      <c r="R50" s="93" t="s">
        <v>681</v>
      </c>
    </row>
    <row r="51" spans="1:19" s="5" customFormat="1">
      <c r="A51" s="13">
        <v>75</v>
      </c>
      <c r="B51" s="13">
        <v>82</v>
      </c>
      <c r="C51" s="13" t="s">
        <v>513</v>
      </c>
      <c r="D51" s="13" t="s">
        <v>622</v>
      </c>
      <c r="E51" s="13" t="s">
        <v>161</v>
      </c>
      <c r="F51" s="36" t="s">
        <v>561</v>
      </c>
      <c r="G51" s="36" t="s">
        <v>237</v>
      </c>
      <c r="H51" s="449">
        <v>0</v>
      </c>
      <c r="I51" s="289"/>
      <c r="J51" s="11"/>
      <c r="K51" s="11"/>
      <c r="L51" s="289"/>
      <c r="M51" s="11"/>
      <c r="N51" s="289"/>
      <c r="O51" s="289"/>
      <c r="P51" s="11"/>
      <c r="Q51" s="13" t="s">
        <v>287</v>
      </c>
      <c r="R51" s="93" t="s">
        <v>687</v>
      </c>
      <c r="S51" s="13"/>
    </row>
    <row r="52" spans="1:19" s="13" customFormat="1">
      <c r="A52" s="13">
        <v>81</v>
      </c>
      <c r="B52" s="13">
        <v>87</v>
      </c>
      <c r="C52" s="13" t="s">
        <v>514</v>
      </c>
      <c r="D52" s="13" t="s">
        <v>622</v>
      </c>
      <c r="E52" s="13" t="s">
        <v>369</v>
      </c>
      <c r="F52" s="36" t="s">
        <v>563</v>
      </c>
      <c r="G52" s="36" t="s">
        <v>80</v>
      </c>
      <c r="H52" s="449">
        <v>0</v>
      </c>
      <c r="I52" s="289"/>
      <c r="J52" s="11"/>
      <c r="K52" s="11"/>
      <c r="L52" s="289"/>
      <c r="M52" s="11"/>
      <c r="N52" s="289"/>
      <c r="O52" s="289"/>
      <c r="P52" s="11"/>
      <c r="Q52" s="13" t="s">
        <v>287</v>
      </c>
      <c r="R52" s="93" t="s">
        <v>728</v>
      </c>
    </row>
    <row r="53" spans="1:19" s="13" customFormat="1">
      <c r="A53" s="13">
        <v>87</v>
      </c>
      <c r="B53" s="13">
        <v>92</v>
      </c>
      <c r="C53" s="13" t="s">
        <v>515</v>
      </c>
      <c r="D53" s="13" t="s">
        <v>622</v>
      </c>
      <c r="E53" s="13" t="s">
        <v>369</v>
      </c>
      <c r="F53" s="36" t="s">
        <v>565</v>
      </c>
      <c r="G53" s="36" t="s">
        <v>80</v>
      </c>
      <c r="H53" s="449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287</v>
      </c>
      <c r="R53" s="93" t="s">
        <v>733</v>
      </c>
    </row>
    <row r="54" spans="1:19" s="13" customFormat="1">
      <c r="A54" s="13">
        <v>88</v>
      </c>
      <c r="B54" s="13">
        <v>93</v>
      </c>
      <c r="C54" s="13">
        <v>5170</v>
      </c>
      <c r="D54" s="13" t="s">
        <v>622</v>
      </c>
      <c r="E54" s="13" t="s">
        <v>369</v>
      </c>
      <c r="F54" s="36" t="s">
        <v>566</v>
      </c>
      <c r="G54" s="36" t="s">
        <v>80</v>
      </c>
      <c r="H54" s="449">
        <v>20000000</v>
      </c>
      <c r="I54" s="289">
        <v>20000000</v>
      </c>
      <c r="J54" s="11">
        <v>43922</v>
      </c>
      <c r="K54" s="11">
        <f>J54+35</f>
        <v>43957</v>
      </c>
      <c r="L54" s="289">
        <v>20000000</v>
      </c>
      <c r="M54" s="11">
        <f>J54+180</f>
        <v>44102</v>
      </c>
      <c r="N54" s="289">
        <v>0</v>
      </c>
      <c r="O54" s="289">
        <f>L54-N54</f>
        <v>20000000</v>
      </c>
      <c r="P54" s="11">
        <v>44056</v>
      </c>
      <c r="Q54" s="13" t="s">
        <v>287</v>
      </c>
      <c r="R54" s="474" t="s">
        <v>732</v>
      </c>
    </row>
    <row r="55" spans="1:19" s="388" customFormat="1">
      <c r="A55" s="13">
        <v>89</v>
      </c>
      <c r="B55" s="13">
        <v>94</v>
      </c>
      <c r="C55" s="13" t="s">
        <v>516</v>
      </c>
      <c r="D55" s="13" t="s">
        <v>622</v>
      </c>
      <c r="E55" s="13" t="s">
        <v>251</v>
      </c>
      <c r="F55" s="36" t="s">
        <v>326</v>
      </c>
      <c r="G55" s="36" t="s">
        <v>80</v>
      </c>
      <c r="H55" s="449">
        <v>0</v>
      </c>
      <c r="I55" s="289"/>
      <c r="J55" s="11"/>
      <c r="K55" s="11"/>
      <c r="L55" s="289"/>
      <c r="M55" s="11"/>
      <c r="N55" s="289"/>
      <c r="O55" s="289"/>
      <c r="P55" s="11"/>
      <c r="Q55" s="13" t="s">
        <v>287</v>
      </c>
      <c r="R55" s="93" t="s">
        <v>734</v>
      </c>
      <c r="S55" s="13"/>
    </row>
    <row r="56" spans="1:19" s="13" customFormat="1">
      <c r="A56" s="437">
        <v>96</v>
      </c>
      <c r="B56" s="437">
        <v>96</v>
      </c>
      <c r="C56" s="437">
        <v>5172</v>
      </c>
      <c r="D56" s="437" t="s">
        <v>632</v>
      </c>
      <c r="E56" s="437" t="s">
        <v>568</v>
      </c>
      <c r="F56" s="438" t="s">
        <v>569</v>
      </c>
      <c r="G56" s="438" t="s">
        <v>154</v>
      </c>
      <c r="H56" s="439">
        <v>100000000</v>
      </c>
      <c r="I56" s="348">
        <v>100000000</v>
      </c>
      <c r="J56" s="440">
        <v>43929</v>
      </c>
      <c r="K56" s="440">
        <f>J56+35</f>
        <v>43964</v>
      </c>
      <c r="L56" s="359">
        <v>75000000</v>
      </c>
      <c r="M56" s="440">
        <f>J56+210</f>
        <v>44139</v>
      </c>
      <c r="N56" s="359">
        <f>41750000+286465</f>
        <v>42036465</v>
      </c>
      <c r="O56" s="359">
        <f>I56-N56</f>
        <v>57963535</v>
      </c>
      <c r="P56" s="440">
        <v>44072</v>
      </c>
      <c r="Q56" s="437" t="s">
        <v>147</v>
      </c>
      <c r="R56" s="440"/>
      <c r="S56" s="437"/>
    </row>
    <row r="57" spans="1:19" s="5" customFormat="1">
      <c r="A57" s="13">
        <v>92</v>
      </c>
      <c r="B57" s="13">
        <v>98</v>
      </c>
      <c r="C57" s="13" t="s">
        <v>517</v>
      </c>
      <c r="D57" s="13" t="s">
        <v>622</v>
      </c>
      <c r="E57" s="13" t="s">
        <v>161</v>
      </c>
      <c r="F57" s="36" t="s">
        <v>259</v>
      </c>
      <c r="G57" s="36" t="s">
        <v>260</v>
      </c>
      <c r="H57" s="449">
        <v>0</v>
      </c>
      <c r="I57" s="289"/>
      <c r="J57" s="11"/>
      <c r="K57" s="11"/>
      <c r="L57" s="289"/>
      <c r="M57" s="11"/>
      <c r="N57" s="289"/>
      <c r="O57" s="289"/>
      <c r="P57" s="11"/>
      <c r="Q57" s="13" t="s">
        <v>287</v>
      </c>
      <c r="R57" s="93" t="s">
        <v>738</v>
      </c>
      <c r="S57" s="13"/>
    </row>
    <row r="58" spans="1:19" s="5" customFormat="1">
      <c r="A58" s="13">
        <v>93</v>
      </c>
      <c r="B58" s="13">
        <v>99</v>
      </c>
      <c r="C58" s="13" t="s">
        <v>518</v>
      </c>
      <c r="D58" s="13" t="s">
        <v>622</v>
      </c>
      <c r="E58" s="13" t="s">
        <v>323</v>
      </c>
      <c r="F58" s="36" t="s">
        <v>567</v>
      </c>
      <c r="G58" s="36" t="s">
        <v>78</v>
      </c>
      <c r="H58" s="449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287</v>
      </c>
      <c r="R58" s="93" t="s">
        <v>739</v>
      </c>
      <c r="S58" s="13"/>
    </row>
    <row r="59" spans="1:19" s="388" customFormat="1">
      <c r="A59" s="13">
        <v>97</v>
      </c>
      <c r="B59" s="13">
        <v>102</v>
      </c>
      <c r="C59" s="13" t="s">
        <v>519</v>
      </c>
      <c r="D59" s="13" t="s">
        <v>622</v>
      </c>
      <c r="E59" s="13" t="s">
        <v>369</v>
      </c>
      <c r="F59" s="36" t="s">
        <v>570</v>
      </c>
      <c r="G59" s="36" t="s">
        <v>80</v>
      </c>
      <c r="H59" s="66">
        <v>0</v>
      </c>
      <c r="I59" s="27"/>
      <c r="J59" s="11"/>
      <c r="K59" s="11"/>
      <c r="L59" s="27"/>
      <c r="M59" s="11"/>
      <c r="N59" s="27"/>
      <c r="O59" s="27"/>
      <c r="P59" s="11"/>
      <c r="Q59" s="13" t="s">
        <v>287</v>
      </c>
      <c r="R59" s="93" t="s">
        <v>746</v>
      </c>
      <c r="S59" s="13"/>
    </row>
    <row r="60" spans="1:19" s="13" customFormat="1">
      <c r="A60" s="13">
        <v>98</v>
      </c>
      <c r="B60" s="13">
        <v>103</v>
      </c>
      <c r="C60" s="13">
        <v>5173</v>
      </c>
      <c r="D60" s="13" t="s">
        <v>632</v>
      </c>
      <c r="E60" s="13" t="s">
        <v>244</v>
      </c>
      <c r="F60" s="36" t="s">
        <v>482</v>
      </c>
      <c r="G60" s="36" t="s">
        <v>142</v>
      </c>
      <c r="H60" s="449">
        <v>50000000</v>
      </c>
      <c r="I60" s="289">
        <f>H60</f>
        <v>50000000</v>
      </c>
      <c r="J60" s="11">
        <v>43938</v>
      </c>
      <c r="K60" s="11">
        <f>J60+35</f>
        <v>43973</v>
      </c>
      <c r="L60" s="289">
        <v>50000000</v>
      </c>
      <c r="M60" s="11">
        <f>J60+180</f>
        <v>44118</v>
      </c>
      <c r="N60" s="289">
        <v>44000000</v>
      </c>
      <c r="O60" s="289">
        <f>L60-N60</f>
        <v>6000000</v>
      </c>
      <c r="P60" s="11">
        <v>44113</v>
      </c>
      <c r="Q60" s="13" t="s">
        <v>287</v>
      </c>
      <c r="R60" s="474" t="s">
        <v>745</v>
      </c>
    </row>
    <row r="61" spans="1:19" s="13" customFormat="1">
      <c r="A61" s="437">
        <v>104</v>
      </c>
      <c r="B61" s="437">
        <v>104</v>
      </c>
      <c r="C61" s="437">
        <v>5179</v>
      </c>
      <c r="D61" s="437" t="s">
        <v>632</v>
      </c>
      <c r="E61" s="437" t="s">
        <v>572</v>
      </c>
      <c r="F61" s="438" t="s">
        <v>569</v>
      </c>
      <c r="G61" s="438" t="s">
        <v>154</v>
      </c>
      <c r="H61" s="489">
        <v>100000000</v>
      </c>
      <c r="I61" s="359">
        <v>100000000</v>
      </c>
      <c r="J61" s="440">
        <v>43952</v>
      </c>
      <c r="K61" s="440">
        <f>J61+35</f>
        <v>43987</v>
      </c>
      <c r="L61" s="359">
        <v>100000000</v>
      </c>
      <c r="M61" s="440">
        <f>J61+210</f>
        <v>44162</v>
      </c>
      <c r="N61" s="541">
        <f>96725000+3274881.25</f>
        <v>99999881.25</v>
      </c>
      <c r="O61" s="541">
        <f>L61-N61</f>
        <v>118.75</v>
      </c>
      <c r="P61" s="440">
        <v>44071</v>
      </c>
      <c r="Q61" s="437" t="s">
        <v>147</v>
      </c>
      <c r="R61" s="440"/>
      <c r="S61" s="437"/>
    </row>
    <row r="62" spans="1:19" s="13" customFormat="1">
      <c r="A62" s="13">
        <v>100</v>
      </c>
      <c r="B62" s="13">
        <v>106</v>
      </c>
      <c r="C62" s="13">
        <v>5174</v>
      </c>
      <c r="D62" s="13" t="s">
        <v>622</v>
      </c>
      <c r="E62" s="13" t="s">
        <v>369</v>
      </c>
      <c r="F62" s="36" t="s">
        <v>571</v>
      </c>
      <c r="G62" s="36" t="s">
        <v>80</v>
      </c>
      <c r="H62" s="449">
        <v>20000000</v>
      </c>
      <c r="I62" s="289">
        <f>H62</f>
        <v>20000000</v>
      </c>
      <c r="J62" s="11">
        <v>43938</v>
      </c>
      <c r="K62" s="11">
        <f>J62+35</f>
        <v>43973</v>
      </c>
      <c r="L62" s="289">
        <v>20000000</v>
      </c>
      <c r="M62" s="11">
        <f>J62+180</f>
        <v>44118</v>
      </c>
      <c r="N62" s="289">
        <v>0</v>
      </c>
      <c r="O62" s="289">
        <f>L62-N62</f>
        <v>20000000</v>
      </c>
      <c r="P62" s="11">
        <v>44056</v>
      </c>
      <c r="Q62" s="13" t="s">
        <v>287</v>
      </c>
      <c r="R62" s="474" t="s">
        <v>745</v>
      </c>
    </row>
    <row r="63" spans="1:19" s="13" customFormat="1">
      <c r="A63" s="13">
        <v>106</v>
      </c>
      <c r="B63" s="13">
        <v>111</v>
      </c>
      <c r="C63" s="13">
        <v>5169</v>
      </c>
      <c r="D63" s="13" t="s">
        <v>632</v>
      </c>
      <c r="E63" s="13" t="s">
        <v>316</v>
      </c>
      <c r="F63" s="36" t="s">
        <v>573</v>
      </c>
      <c r="G63" s="36" t="s">
        <v>79</v>
      </c>
      <c r="H63" s="66">
        <v>29300000</v>
      </c>
      <c r="I63" s="27">
        <f>H63</f>
        <v>29300000</v>
      </c>
      <c r="J63" s="11">
        <v>43911</v>
      </c>
      <c r="K63" s="11">
        <f>J63+35</f>
        <v>43946</v>
      </c>
      <c r="L63" s="289">
        <v>29300000</v>
      </c>
      <c r="M63" s="11">
        <f>J63+180</f>
        <v>44091</v>
      </c>
      <c r="N63" s="353">
        <f>22565000+6357000+377605.8-24200223.69</f>
        <v>5099382.1099999994</v>
      </c>
      <c r="O63" s="353">
        <f>L63-N63</f>
        <v>24200617.890000001</v>
      </c>
      <c r="P63" s="11">
        <v>44103</v>
      </c>
      <c r="Q63" s="13" t="s">
        <v>287</v>
      </c>
      <c r="R63" s="474" t="s">
        <v>727</v>
      </c>
      <c r="S63" s="437" t="s">
        <v>672</v>
      </c>
    </row>
    <row r="64" spans="1:19" s="5" customFormat="1">
      <c r="A64" s="13">
        <v>108</v>
      </c>
      <c r="B64" s="13">
        <v>113</v>
      </c>
      <c r="C64" s="13" t="s">
        <v>520</v>
      </c>
      <c r="D64" s="13" t="s">
        <v>622</v>
      </c>
      <c r="E64" s="13" t="s">
        <v>369</v>
      </c>
      <c r="F64" s="36" t="s">
        <v>574</v>
      </c>
      <c r="G64" s="36" t="s">
        <v>80</v>
      </c>
      <c r="H64" s="66">
        <v>0</v>
      </c>
      <c r="I64" s="27"/>
      <c r="J64" s="11"/>
      <c r="K64" s="11"/>
      <c r="L64" s="27"/>
      <c r="M64" s="11"/>
      <c r="N64" s="27"/>
      <c r="O64" s="27"/>
      <c r="P64" s="11"/>
      <c r="Q64" s="13" t="s">
        <v>287</v>
      </c>
      <c r="R64" s="93" t="s">
        <v>759</v>
      </c>
      <c r="S64" s="13"/>
    </row>
    <row r="65" spans="1:19" s="437" customFormat="1">
      <c r="A65" s="13">
        <v>109</v>
      </c>
      <c r="B65" s="13">
        <v>114</v>
      </c>
      <c r="C65" s="13">
        <v>5182</v>
      </c>
      <c r="D65" s="13" t="s">
        <v>632</v>
      </c>
      <c r="E65" s="13" t="s">
        <v>575</v>
      </c>
      <c r="F65" s="36" t="s">
        <v>576</v>
      </c>
      <c r="G65" s="36" t="s">
        <v>337</v>
      </c>
      <c r="H65" s="449">
        <v>64819515</v>
      </c>
      <c r="I65" s="289">
        <f>H65</f>
        <v>64819515</v>
      </c>
      <c r="J65" s="11">
        <v>43959</v>
      </c>
      <c r="K65" s="11">
        <f>J65+35</f>
        <v>43994</v>
      </c>
      <c r="L65" s="289">
        <v>64819515</v>
      </c>
      <c r="M65" s="11">
        <f>J65+180</f>
        <v>44139</v>
      </c>
      <c r="N65" s="289">
        <v>63080000</v>
      </c>
      <c r="O65" s="289">
        <f>L65-N65</f>
        <v>1739515</v>
      </c>
      <c r="P65" s="11">
        <v>44142</v>
      </c>
      <c r="Q65" s="13" t="s">
        <v>287</v>
      </c>
      <c r="R65" s="474" t="s">
        <v>766</v>
      </c>
      <c r="S65" s="13"/>
    </row>
    <row r="66" spans="1:19" s="13" customFormat="1">
      <c r="A66" s="13">
        <v>111</v>
      </c>
      <c r="B66" s="13">
        <v>115</v>
      </c>
      <c r="C66" s="13">
        <v>5183</v>
      </c>
      <c r="D66" s="13" t="s">
        <v>632</v>
      </c>
      <c r="E66" s="13" t="s">
        <v>374</v>
      </c>
      <c r="F66" s="36" t="s">
        <v>577</v>
      </c>
      <c r="G66" s="36" t="s">
        <v>81</v>
      </c>
      <c r="H66" s="449">
        <v>38000000</v>
      </c>
      <c r="I66" s="289">
        <f>H66</f>
        <v>38000000</v>
      </c>
      <c r="J66" s="11">
        <v>43959</v>
      </c>
      <c r="K66" s="11">
        <f>J66+35</f>
        <v>43994</v>
      </c>
      <c r="L66" s="289">
        <v>38000000</v>
      </c>
      <c r="M66" s="11">
        <f>J66+180</f>
        <v>44139</v>
      </c>
      <c r="N66" s="289">
        <v>35000000</v>
      </c>
      <c r="O66" s="289">
        <f>L66-N66</f>
        <v>3000000</v>
      </c>
      <c r="P66" s="11">
        <v>44135</v>
      </c>
      <c r="Q66" s="13" t="s">
        <v>307</v>
      </c>
      <c r="R66" s="93"/>
    </row>
    <row r="67" spans="1:19" s="437" customFormat="1">
      <c r="A67" s="437">
        <v>116</v>
      </c>
      <c r="B67" s="437">
        <v>116</v>
      </c>
      <c r="C67" s="437">
        <v>5185</v>
      </c>
      <c r="D67" s="437" t="s">
        <v>622</v>
      </c>
      <c r="E67" s="437" t="s">
        <v>579</v>
      </c>
      <c r="F67" s="438" t="s">
        <v>580</v>
      </c>
      <c r="G67" s="438" t="s">
        <v>581</v>
      </c>
      <c r="H67" s="439">
        <v>100000000</v>
      </c>
      <c r="I67" s="498">
        <f>H67</f>
        <v>100000000</v>
      </c>
      <c r="J67" s="440">
        <v>43971</v>
      </c>
      <c r="K67" s="440">
        <f>J67+35</f>
        <v>44006</v>
      </c>
      <c r="L67" s="348">
        <v>0</v>
      </c>
      <c r="M67" s="440">
        <f>J67+150</f>
        <v>44121</v>
      </c>
      <c r="N67" s="348">
        <v>0</v>
      </c>
      <c r="O67" s="348">
        <f>I67-N67</f>
        <v>100000000</v>
      </c>
      <c r="P67" s="440">
        <v>44007</v>
      </c>
      <c r="Q67" s="437" t="s">
        <v>147</v>
      </c>
      <c r="R67" s="440"/>
    </row>
    <row r="68" spans="1:19" s="13" customFormat="1">
      <c r="A68" s="437">
        <v>118</v>
      </c>
      <c r="B68" s="437">
        <v>118</v>
      </c>
      <c r="C68" s="437">
        <v>5186</v>
      </c>
      <c r="D68" s="437" t="s">
        <v>622</v>
      </c>
      <c r="E68" s="437" t="s">
        <v>83</v>
      </c>
      <c r="F68" s="438" t="s">
        <v>372</v>
      </c>
      <c r="G68" s="438" t="s">
        <v>373</v>
      </c>
      <c r="H68" s="489">
        <v>100000000</v>
      </c>
      <c r="I68" s="359">
        <v>100000000</v>
      </c>
      <c r="J68" s="440">
        <v>43979</v>
      </c>
      <c r="K68" s="440">
        <f>J68+35</f>
        <v>44014</v>
      </c>
      <c r="L68" s="359">
        <v>0</v>
      </c>
      <c r="M68" s="440">
        <f>J68+150</f>
        <v>44129</v>
      </c>
      <c r="N68" s="359">
        <v>0</v>
      </c>
      <c r="O68" s="348">
        <f>I68-N68</f>
        <v>100000000</v>
      </c>
      <c r="P68" s="440">
        <v>44008</v>
      </c>
      <c r="Q68" s="437" t="s">
        <v>147</v>
      </c>
      <c r="R68" s="440"/>
      <c r="S68" s="437"/>
    </row>
    <row r="69" spans="1:19" s="13" customFormat="1">
      <c r="A69" s="13">
        <v>114</v>
      </c>
      <c r="B69" s="13">
        <v>120</v>
      </c>
      <c r="C69" s="13">
        <v>5184</v>
      </c>
      <c r="D69" s="13" t="s">
        <v>622</v>
      </c>
      <c r="E69" s="13" t="s">
        <v>155</v>
      </c>
      <c r="F69" s="36" t="s">
        <v>578</v>
      </c>
      <c r="G69" s="36" t="s">
        <v>81</v>
      </c>
      <c r="H69" s="449">
        <v>64819515</v>
      </c>
      <c r="I69" s="289">
        <f>H69</f>
        <v>64819515</v>
      </c>
      <c r="J69" s="11">
        <v>43971</v>
      </c>
      <c r="K69" s="11">
        <f>J69+35</f>
        <v>44006</v>
      </c>
      <c r="L69" s="289">
        <v>0</v>
      </c>
      <c r="M69" s="11">
        <f>J69+180</f>
        <v>44151</v>
      </c>
      <c r="N69" s="289">
        <v>0</v>
      </c>
      <c r="O69" s="289">
        <f>I69-N69</f>
        <v>64819515</v>
      </c>
      <c r="P69" s="11">
        <v>44005</v>
      </c>
      <c r="Q69" s="13" t="s">
        <v>307</v>
      </c>
      <c r="R69" s="11"/>
    </row>
    <row r="70" spans="1:19" s="13" customFormat="1">
      <c r="A70" s="13">
        <v>117</v>
      </c>
      <c r="B70" s="13">
        <v>122</v>
      </c>
      <c r="C70" s="13" t="s">
        <v>521</v>
      </c>
      <c r="D70" s="13" t="s">
        <v>622</v>
      </c>
      <c r="E70" s="13" t="s">
        <v>238</v>
      </c>
      <c r="F70" s="36" t="s">
        <v>582</v>
      </c>
      <c r="G70" s="36" t="s">
        <v>176</v>
      </c>
      <c r="H70" s="66">
        <v>0</v>
      </c>
      <c r="I70" s="27"/>
      <c r="J70" s="11"/>
      <c r="K70" s="11"/>
      <c r="L70" s="27"/>
      <c r="M70" s="11"/>
      <c r="N70" s="27"/>
      <c r="O70" s="27"/>
      <c r="P70" s="11"/>
      <c r="Q70" s="13" t="s">
        <v>307</v>
      </c>
      <c r="R70" s="11"/>
    </row>
    <row r="71" spans="1:19" s="13" customFormat="1">
      <c r="A71" s="13">
        <v>121</v>
      </c>
      <c r="B71" s="13">
        <v>125</v>
      </c>
      <c r="C71" s="13">
        <v>5187</v>
      </c>
      <c r="D71" s="13" t="s">
        <v>632</v>
      </c>
      <c r="E71" s="13" t="s">
        <v>235</v>
      </c>
      <c r="F71" s="36" t="s">
        <v>319</v>
      </c>
      <c r="G71" s="36" t="s">
        <v>81</v>
      </c>
      <c r="H71" s="449">
        <v>50000000</v>
      </c>
      <c r="I71" s="289">
        <v>50000000</v>
      </c>
      <c r="J71" s="11">
        <v>43981</v>
      </c>
      <c r="K71" s="11">
        <f>J71+35</f>
        <v>44016</v>
      </c>
      <c r="L71" s="289">
        <v>50000000</v>
      </c>
      <c r="M71" s="11">
        <f>J71+180</f>
        <v>44161</v>
      </c>
      <c r="N71" s="289">
        <v>50000000</v>
      </c>
      <c r="O71" s="289">
        <f>L71-N71</f>
        <v>0</v>
      </c>
      <c r="P71" s="11">
        <v>44167</v>
      </c>
      <c r="Q71" s="13" t="s">
        <v>307</v>
      </c>
      <c r="R71" s="11"/>
      <c r="S71" s="437"/>
    </row>
    <row r="72" spans="1:19" s="13" customFormat="1">
      <c r="A72" s="13">
        <v>122</v>
      </c>
      <c r="B72" s="13">
        <v>126</v>
      </c>
      <c r="C72" s="13">
        <v>5195</v>
      </c>
      <c r="D72" s="13" t="s">
        <v>622</v>
      </c>
      <c r="E72" s="13" t="s">
        <v>238</v>
      </c>
      <c r="F72" s="36" t="s">
        <v>583</v>
      </c>
      <c r="G72" s="36" t="s">
        <v>169</v>
      </c>
      <c r="H72" s="449">
        <v>64819515</v>
      </c>
      <c r="I72" s="289">
        <f>H72</f>
        <v>64819515</v>
      </c>
      <c r="J72" s="11">
        <v>44012</v>
      </c>
      <c r="K72" s="11">
        <f>J72+35</f>
        <v>44047</v>
      </c>
      <c r="L72" s="289">
        <v>0</v>
      </c>
      <c r="M72" s="11">
        <f>J72+180</f>
        <v>44192</v>
      </c>
      <c r="N72" s="289">
        <v>0</v>
      </c>
      <c r="O72" s="289">
        <f>I72</f>
        <v>64819515</v>
      </c>
      <c r="P72" s="11">
        <v>44043</v>
      </c>
      <c r="Q72" s="13" t="s">
        <v>307</v>
      </c>
      <c r="R72" s="11"/>
    </row>
    <row r="73" spans="1:19" s="13" customFormat="1">
      <c r="A73" s="13">
        <v>124</v>
      </c>
      <c r="B73" s="13">
        <v>128</v>
      </c>
      <c r="C73" s="13" t="s">
        <v>522</v>
      </c>
      <c r="D73" s="13" t="s">
        <v>622</v>
      </c>
      <c r="E73" s="13" t="s">
        <v>369</v>
      </c>
      <c r="F73" s="36" t="s">
        <v>584</v>
      </c>
      <c r="G73" s="36" t="s">
        <v>80</v>
      </c>
      <c r="H73" s="449">
        <v>0</v>
      </c>
      <c r="I73" s="289"/>
      <c r="J73" s="11"/>
      <c r="K73" s="11"/>
      <c r="L73" s="289"/>
      <c r="M73" s="11"/>
      <c r="N73" s="289"/>
      <c r="O73" s="289"/>
      <c r="P73" s="11"/>
      <c r="Q73" s="13" t="s">
        <v>307</v>
      </c>
      <c r="R73" s="93" t="s">
        <v>795</v>
      </c>
    </row>
    <row r="74" spans="1:19" s="13" customFormat="1">
      <c r="A74" s="13">
        <v>125</v>
      </c>
      <c r="B74" s="13">
        <v>129</v>
      </c>
      <c r="C74" s="13">
        <v>5196</v>
      </c>
      <c r="D74" s="13" t="s">
        <v>622</v>
      </c>
      <c r="E74" s="13" t="s">
        <v>369</v>
      </c>
      <c r="F74" s="36" t="s">
        <v>585</v>
      </c>
      <c r="G74" s="36" t="s">
        <v>80</v>
      </c>
      <c r="H74" s="449">
        <v>40000000</v>
      </c>
      <c r="I74" s="289">
        <v>40000000</v>
      </c>
      <c r="J74" s="11">
        <v>44014</v>
      </c>
      <c r="K74" s="11">
        <f>J74+35</f>
        <v>44049</v>
      </c>
      <c r="L74" s="289">
        <v>40000000</v>
      </c>
      <c r="M74" s="11">
        <f>J74+180</f>
        <v>44194</v>
      </c>
      <c r="N74" s="289">
        <v>0</v>
      </c>
      <c r="O74" s="289">
        <f>L74-N74</f>
        <v>40000000</v>
      </c>
      <c r="P74" s="11">
        <v>44155</v>
      </c>
      <c r="Q74" s="13" t="s">
        <v>307</v>
      </c>
      <c r="R74" s="93"/>
    </row>
    <row r="75" spans="1:19" s="13" customFormat="1">
      <c r="A75" s="13">
        <v>127</v>
      </c>
      <c r="B75" s="13">
        <v>130</v>
      </c>
      <c r="C75" s="13" t="s">
        <v>524</v>
      </c>
      <c r="D75" s="13" t="s">
        <v>622</v>
      </c>
      <c r="E75" s="13" t="s">
        <v>369</v>
      </c>
      <c r="F75" s="36" t="s">
        <v>587</v>
      </c>
      <c r="G75" s="36" t="s">
        <v>80</v>
      </c>
      <c r="H75" s="449">
        <v>0</v>
      </c>
      <c r="I75" s="289"/>
      <c r="J75" s="11"/>
      <c r="K75" s="11"/>
      <c r="L75" s="289"/>
      <c r="M75" s="11"/>
      <c r="N75" s="289"/>
      <c r="O75" s="289"/>
      <c r="P75" s="11"/>
      <c r="Q75" s="13" t="s">
        <v>307</v>
      </c>
      <c r="R75" s="93" t="s">
        <v>795</v>
      </c>
    </row>
    <row r="76" spans="1:19" s="5" customFormat="1">
      <c r="A76" s="5">
        <v>128</v>
      </c>
      <c r="B76" s="5">
        <v>131</v>
      </c>
      <c r="C76" s="5">
        <v>5197</v>
      </c>
      <c r="D76" s="5" t="s">
        <v>607</v>
      </c>
      <c r="E76" s="5" t="s">
        <v>238</v>
      </c>
      <c r="F76" s="26" t="s">
        <v>588</v>
      </c>
      <c r="G76" s="26" t="s">
        <v>385</v>
      </c>
      <c r="H76" s="357">
        <v>64819515</v>
      </c>
      <c r="I76" s="352">
        <f>H76</f>
        <v>64819515</v>
      </c>
      <c r="J76" s="6">
        <v>44019</v>
      </c>
      <c r="K76" s="6">
        <f>J76+35</f>
        <v>44054</v>
      </c>
      <c r="L76" s="352">
        <f>I76</f>
        <v>64819515</v>
      </c>
      <c r="M76" s="6">
        <f>J76+180</f>
        <v>44199</v>
      </c>
      <c r="N76" s="352"/>
      <c r="O76" s="352"/>
      <c r="P76" s="6"/>
      <c r="Q76" s="5" t="s">
        <v>307</v>
      </c>
      <c r="R76" s="6"/>
    </row>
    <row r="77" spans="1:19" s="13" customFormat="1">
      <c r="A77" s="13">
        <v>129</v>
      </c>
      <c r="B77" s="13">
        <v>132</v>
      </c>
      <c r="C77" s="13">
        <v>5198</v>
      </c>
      <c r="D77" s="13" t="s">
        <v>622</v>
      </c>
      <c r="E77" s="13" t="s">
        <v>161</v>
      </c>
      <c r="F77" s="36" t="s">
        <v>589</v>
      </c>
      <c r="G77" s="36" t="s">
        <v>313</v>
      </c>
      <c r="H77" s="449">
        <v>20000000</v>
      </c>
      <c r="I77" s="289">
        <f>H77</f>
        <v>20000000</v>
      </c>
      <c r="J77" s="11">
        <v>44019</v>
      </c>
      <c r="K77" s="11">
        <f>J77+35</f>
        <v>44054</v>
      </c>
      <c r="L77" s="289">
        <v>0</v>
      </c>
      <c r="M77" s="11">
        <f>J77+180</f>
        <v>44199</v>
      </c>
      <c r="N77" s="289">
        <v>0</v>
      </c>
      <c r="O77" s="289">
        <f>I77-L77</f>
        <v>20000000</v>
      </c>
      <c r="P77" s="11">
        <v>44048</v>
      </c>
      <c r="Q77" s="13" t="s">
        <v>307</v>
      </c>
      <c r="R77" s="11"/>
    </row>
    <row r="78" spans="1:19" s="5" customFormat="1">
      <c r="A78" s="5">
        <v>130</v>
      </c>
      <c r="B78" s="5">
        <v>133</v>
      </c>
      <c r="C78" s="5">
        <v>5199</v>
      </c>
      <c r="D78" s="5" t="s">
        <v>607</v>
      </c>
      <c r="E78" s="5" t="s">
        <v>590</v>
      </c>
      <c r="F78" s="26" t="s">
        <v>591</v>
      </c>
      <c r="G78" s="26" t="s">
        <v>79</v>
      </c>
      <c r="H78" s="357">
        <v>60000000</v>
      </c>
      <c r="I78" s="352">
        <f>H78</f>
        <v>60000000</v>
      </c>
      <c r="J78" s="6">
        <v>44019</v>
      </c>
      <c r="K78" s="6">
        <f>J78+35</f>
        <v>44054</v>
      </c>
      <c r="L78" s="352">
        <v>60000000</v>
      </c>
      <c r="M78" s="6">
        <f>J78+180</f>
        <v>44199</v>
      </c>
      <c r="N78" s="352"/>
      <c r="O78" s="352"/>
      <c r="P78" s="6"/>
      <c r="Q78" s="5" t="s">
        <v>307</v>
      </c>
      <c r="R78" s="6"/>
    </row>
    <row r="79" spans="1:19" s="13" customFormat="1">
      <c r="A79" s="13">
        <v>131</v>
      </c>
      <c r="B79" s="13">
        <v>134</v>
      </c>
      <c r="C79" s="13" t="s">
        <v>525</v>
      </c>
      <c r="D79" s="13" t="s">
        <v>622</v>
      </c>
      <c r="E79" s="13" t="s">
        <v>251</v>
      </c>
      <c r="F79" s="36" t="s">
        <v>322</v>
      </c>
      <c r="G79" s="36" t="s">
        <v>80</v>
      </c>
      <c r="H79" s="66">
        <v>0</v>
      </c>
      <c r="I79" s="352"/>
      <c r="J79" s="6"/>
      <c r="K79" s="6"/>
      <c r="L79" s="453"/>
      <c r="M79" s="6"/>
      <c r="N79" s="27"/>
      <c r="O79" s="27"/>
      <c r="P79" s="11"/>
      <c r="Q79" s="13" t="s">
        <v>307</v>
      </c>
      <c r="R79" s="11"/>
    </row>
    <row r="80" spans="1:19" s="13" customFormat="1">
      <c r="A80" s="13" t="s">
        <v>147</v>
      </c>
      <c r="B80" s="13" t="s">
        <v>147</v>
      </c>
      <c r="C80" s="13">
        <v>5200</v>
      </c>
      <c r="D80" s="13" t="s">
        <v>622</v>
      </c>
      <c r="E80" s="13" t="s">
        <v>161</v>
      </c>
      <c r="F80" s="36" t="s">
        <v>601</v>
      </c>
      <c r="G80" s="36" t="s">
        <v>313</v>
      </c>
      <c r="H80" s="449">
        <v>15000000</v>
      </c>
      <c r="I80" s="289">
        <f>H80</f>
        <v>15000000</v>
      </c>
      <c r="J80" s="11">
        <v>44019</v>
      </c>
      <c r="K80" s="11">
        <f>J80+35</f>
        <v>44054</v>
      </c>
      <c r="L80" s="289">
        <v>15000000</v>
      </c>
      <c r="M80" s="11">
        <f>J80+180</f>
        <v>44199</v>
      </c>
      <c r="N80" s="289">
        <v>0</v>
      </c>
      <c r="O80" s="289">
        <f>L80-N80</f>
        <v>15000000</v>
      </c>
      <c r="P80" s="11">
        <v>44135</v>
      </c>
      <c r="Q80" s="13" t="s">
        <v>307</v>
      </c>
      <c r="R80" s="11"/>
      <c r="S80" s="437" t="s">
        <v>796</v>
      </c>
    </row>
    <row r="81" spans="1:19" s="13" customFormat="1">
      <c r="A81" s="13" t="s">
        <v>147</v>
      </c>
      <c r="B81" s="13" t="s">
        <v>147</v>
      </c>
      <c r="C81" s="13">
        <v>5203</v>
      </c>
      <c r="D81" s="13" t="s">
        <v>77</v>
      </c>
      <c r="E81" s="13" t="s">
        <v>608</v>
      </c>
      <c r="F81" s="36" t="s">
        <v>609</v>
      </c>
      <c r="G81" s="36" t="s">
        <v>80</v>
      </c>
      <c r="H81" s="449">
        <v>50000000</v>
      </c>
      <c r="I81" s="289">
        <v>50000000</v>
      </c>
      <c r="J81" s="11">
        <v>44028</v>
      </c>
      <c r="K81" s="11">
        <f>J81+35</f>
        <v>44063</v>
      </c>
      <c r="L81" s="289">
        <v>50000000</v>
      </c>
      <c r="M81" s="11">
        <f>J81+180</f>
        <v>44208</v>
      </c>
      <c r="N81" s="289"/>
      <c r="O81" s="289"/>
      <c r="P81" s="11"/>
      <c r="Q81" s="13" t="s">
        <v>307</v>
      </c>
      <c r="R81" s="11"/>
    </row>
    <row r="82" spans="1:19" s="13" customFormat="1">
      <c r="A82" s="13" t="s">
        <v>147</v>
      </c>
      <c r="B82" s="13" t="s">
        <v>147</v>
      </c>
      <c r="C82" s="13">
        <v>5206</v>
      </c>
      <c r="D82" s="13" t="s">
        <v>622</v>
      </c>
      <c r="E82" s="13" t="s">
        <v>238</v>
      </c>
      <c r="F82" s="36" t="s">
        <v>526</v>
      </c>
      <c r="G82" s="36" t="s">
        <v>527</v>
      </c>
      <c r="H82" s="449">
        <v>35000000</v>
      </c>
      <c r="I82" s="289">
        <f>H82</f>
        <v>35000000</v>
      </c>
      <c r="J82" s="11">
        <v>44035</v>
      </c>
      <c r="K82" s="11">
        <f>J82+35</f>
        <v>44070</v>
      </c>
      <c r="L82" s="289">
        <v>0</v>
      </c>
      <c r="M82" s="11">
        <f>J82+180</f>
        <v>44215</v>
      </c>
      <c r="N82" s="289">
        <v>0</v>
      </c>
      <c r="O82" s="289">
        <f>I82-L82</f>
        <v>35000000</v>
      </c>
      <c r="P82" s="11">
        <v>44065</v>
      </c>
      <c r="Q82" s="13" t="s">
        <v>307</v>
      </c>
      <c r="R82" s="93"/>
    </row>
    <row r="83" spans="1:19" s="13" customFormat="1">
      <c r="A83" s="13" t="s">
        <v>147</v>
      </c>
      <c r="B83" s="13" t="s">
        <v>147</v>
      </c>
      <c r="C83" s="13" t="s">
        <v>659</v>
      </c>
      <c r="D83" s="13" t="s">
        <v>622</v>
      </c>
      <c r="E83" s="13" t="s">
        <v>369</v>
      </c>
      <c r="F83" s="36" t="s">
        <v>535</v>
      </c>
      <c r="G83" s="36" t="s">
        <v>80</v>
      </c>
      <c r="H83" s="449">
        <v>0</v>
      </c>
      <c r="I83" s="289"/>
      <c r="J83" s="11"/>
      <c r="K83" s="11"/>
      <c r="L83" s="289"/>
      <c r="M83" s="11"/>
      <c r="N83" s="289"/>
      <c r="O83" s="289"/>
      <c r="P83" s="11"/>
      <c r="Q83" s="13" t="s">
        <v>307</v>
      </c>
      <c r="R83" s="93" t="s">
        <v>819</v>
      </c>
    </row>
    <row r="84" spans="1:19" s="13" customFormat="1">
      <c r="A84" s="13" t="s">
        <v>147</v>
      </c>
      <c r="B84" s="13" t="s">
        <v>147</v>
      </c>
      <c r="C84" s="13" t="s">
        <v>822</v>
      </c>
      <c r="D84" s="13" t="s">
        <v>622</v>
      </c>
      <c r="E84" s="13" t="s">
        <v>155</v>
      </c>
      <c r="F84" s="36" t="s">
        <v>533</v>
      </c>
      <c r="G84" s="36" t="s">
        <v>81</v>
      </c>
      <c r="H84" s="449">
        <v>0</v>
      </c>
      <c r="I84" s="289"/>
      <c r="J84" s="11"/>
      <c r="K84" s="11"/>
      <c r="L84" s="289"/>
      <c r="M84" s="11"/>
      <c r="N84" s="289"/>
      <c r="O84" s="289"/>
      <c r="P84" s="11"/>
      <c r="Q84" s="13" t="s">
        <v>307</v>
      </c>
      <c r="R84" s="11"/>
    </row>
    <row r="85" spans="1:19" s="13" customFormat="1">
      <c r="A85" s="13" t="s">
        <v>147</v>
      </c>
      <c r="B85" s="13" t="s">
        <v>147</v>
      </c>
      <c r="C85" s="13">
        <v>5210</v>
      </c>
      <c r="D85" s="13" t="s">
        <v>622</v>
      </c>
      <c r="E85" s="13" t="s">
        <v>316</v>
      </c>
      <c r="F85" s="36" t="s">
        <v>699</v>
      </c>
      <c r="G85" s="36" t="s">
        <v>79</v>
      </c>
      <c r="H85" s="449">
        <v>40000000</v>
      </c>
      <c r="I85" s="289">
        <v>40000000</v>
      </c>
      <c r="J85" s="11">
        <v>44044</v>
      </c>
      <c r="K85" s="11">
        <f>J85+35</f>
        <v>44079</v>
      </c>
      <c r="L85" s="289">
        <v>40000000</v>
      </c>
      <c r="M85" s="11">
        <f>J85+180</f>
        <v>44224</v>
      </c>
      <c r="N85" s="289">
        <v>0</v>
      </c>
      <c r="O85" s="289">
        <f>L85-N85</f>
        <v>40000000</v>
      </c>
      <c r="P85" s="11">
        <v>44182</v>
      </c>
      <c r="Q85" s="13" t="s">
        <v>307</v>
      </c>
      <c r="R85" s="474" t="s">
        <v>823</v>
      </c>
      <c r="S85" s="437"/>
    </row>
    <row r="86" spans="1:19" s="13" customFormat="1">
      <c r="A86" s="13" t="s">
        <v>147</v>
      </c>
      <c r="B86" s="13" t="s">
        <v>147</v>
      </c>
      <c r="C86" s="13">
        <v>5211</v>
      </c>
      <c r="D86" s="13" t="s">
        <v>622</v>
      </c>
      <c r="E86" s="13" t="s">
        <v>238</v>
      </c>
      <c r="F86" s="36" t="s">
        <v>709</v>
      </c>
      <c r="G86" s="36" t="s">
        <v>710</v>
      </c>
      <c r="H86" s="449">
        <v>45000000</v>
      </c>
      <c r="I86" s="289">
        <v>45000000</v>
      </c>
      <c r="J86" s="11">
        <v>44044</v>
      </c>
      <c r="K86" s="11">
        <f>J86+35</f>
        <v>44079</v>
      </c>
      <c r="L86" s="289">
        <v>0</v>
      </c>
      <c r="M86" s="11">
        <f>J86+180</f>
        <v>44224</v>
      </c>
      <c r="N86" s="289">
        <v>0</v>
      </c>
      <c r="O86" s="289">
        <f>I86-L86</f>
        <v>45000000</v>
      </c>
      <c r="P86" s="11">
        <v>44047</v>
      </c>
      <c r="Q86" s="13" t="s">
        <v>307</v>
      </c>
      <c r="R86" s="11"/>
    </row>
    <row r="87" spans="1:19" s="5" customFormat="1">
      <c r="A87" s="5" t="s">
        <v>147</v>
      </c>
      <c r="B87" s="5" t="s">
        <v>147</v>
      </c>
      <c r="C87" s="5">
        <v>5212</v>
      </c>
      <c r="D87" s="5" t="s">
        <v>607</v>
      </c>
      <c r="E87" s="5" t="s">
        <v>235</v>
      </c>
      <c r="F87" s="26" t="s">
        <v>717</v>
      </c>
      <c r="G87" s="26" t="s">
        <v>81</v>
      </c>
      <c r="H87" s="357">
        <v>30000000</v>
      </c>
      <c r="I87" s="352">
        <v>30000000</v>
      </c>
      <c r="J87" s="6">
        <v>44044</v>
      </c>
      <c r="K87" s="6">
        <f>J87+35</f>
        <v>44079</v>
      </c>
      <c r="L87" s="352">
        <v>30000000</v>
      </c>
      <c r="M87" s="6">
        <f>J87+180</f>
        <v>44224</v>
      </c>
      <c r="N87" s="352"/>
      <c r="O87" s="352"/>
      <c r="P87" s="6"/>
      <c r="Q87" s="5" t="s">
        <v>307</v>
      </c>
      <c r="R87" s="6"/>
    </row>
    <row r="88" spans="1:19" s="437" customFormat="1">
      <c r="A88" s="437" t="s">
        <v>147</v>
      </c>
      <c r="B88" s="437" t="s">
        <v>147</v>
      </c>
      <c r="C88" s="437">
        <v>5171</v>
      </c>
      <c r="D88" s="437" t="s">
        <v>632</v>
      </c>
      <c r="E88" s="437" t="s">
        <v>315</v>
      </c>
      <c r="F88" s="438" t="s">
        <v>729</v>
      </c>
      <c r="G88" s="438" t="s">
        <v>730</v>
      </c>
      <c r="H88" s="489">
        <v>40000000</v>
      </c>
      <c r="I88" s="359">
        <v>40000000</v>
      </c>
      <c r="J88" s="440">
        <v>43922</v>
      </c>
      <c r="K88" s="440">
        <f>J88+35</f>
        <v>43957</v>
      </c>
      <c r="L88" s="359">
        <v>36500000</v>
      </c>
      <c r="M88" s="440">
        <f>J88+150</f>
        <v>44072</v>
      </c>
      <c r="N88" s="359">
        <v>0</v>
      </c>
      <c r="O88" s="359">
        <f>I88</f>
        <v>40000000</v>
      </c>
      <c r="P88" s="440">
        <v>43951</v>
      </c>
      <c r="Q88" s="437" t="s">
        <v>147</v>
      </c>
      <c r="R88" s="440"/>
      <c r="S88" s="437" t="s">
        <v>731</v>
      </c>
    </row>
    <row r="89" spans="1:19" s="13" customFormat="1">
      <c r="A89" s="13" t="s">
        <v>147</v>
      </c>
      <c r="B89" s="13" t="s">
        <v>147</v>
      </c>
      <c r="C89" s="13">
        <v>5239</v>
      </c>
      <c r="D89" s="13" t="s">
        <v>77</v>
      </c>
      <c r="E89" s="13" t="s">
        <v>369</v>
      </c>
      <c r="F89" s="36" t="s">
        <v>856</v>
      </c>
      <c r="G89" s="36" t="s">
        <v>321</v>
      </c>
      <c r="H89" s="449">
        <v>50000000</v>
      </c>
      <c r="I89" s="289">
        <f>H89</f>
        <v>50000000</v>
      </c>
      <c r="J89" s="11">
        <v>44050</v>
      </c>
      <c r="K89" s="11">
        <f>J89+35</f>
        <v>44085</v>
      </c>
      <c r="L89" s="289">
        <v>50000000</v>
      </c>
      <c r="M89" s="11">
        <f>J89+180</f>
        <v>44230</v>
      </c>
      <c r="N89" s="289"/>
      <c r="O89" s="289"/>
      <c r="P89" s="11"/>
      <c r="Q89" s="13" t="s">
        <v>307</v>
      </c>
      <c r="R89" s="474" t="s">
        <v>855</v>
      </c>
    </row>
    <row r="90" spans="1:19" s="13" customFormat="1">
      <c r="A90" s="13" t="s">
        <v>147</v>
      </c>
      <c r="B90" s="13" t="s">
        <v>147</v>
      </c>
      <c r="C90" s="13" t="s">
        <v>740</v>
      </c>
      <c r="D90" s="13" t="s">
        <v>622</v>
      </c>
      <c r="E90" s="13" t="s">
        <v>251</v>
      </c>
      <c r="F90" s="36" t="s">
        <v>326</v>
      </c>
      <c r="G90" s="36" t="s">
        <v>80</v>
      </c>
      <c r="H90" s="66">
        <v>0</v>
      </c>
      <c r="I90" s="27"/>
      <c r="J90" s="11"/>
      <c r="K90" s="11"/>
      <c r="L90" s="27"/>
      <c r="M90" s="11"/>
      <c r="N90" s="27"/>
      <c r="O90" s="27"/>
      <c r="P90" s="11"/>
      <c r="Q90" s="13" t="s">
        <v>307</v>
      </c>
      <c r="R90" s="93" t="s">
        <v>873</v>
      </c>
    </row>
    <row r="91" spans="1:19" s="481" customFormat="1">
      <c r="A91" s="481" t="s">
        <v>147</v>
      </c>
      <c r="B91" s="481" t="s">
        <v>147</v>
      </c>
      <c r="C91" s="481">
        <v>5243</v>
      </c>
      <c r="D91" s="481" t="s">
        <v>77</v>
      </c>
      <c r="E91" s="481" t="s">
        <v>323</v>
      </c>
      <c r="F91" s="482" t="s">
        <v>567</v>
      </c>
      <c r="G91" s="482" t="s">
        <v>78</v>
      </c>
      <c r="H91" s="511">
        <v>50000000</v>
      </c>
      <c r="I91" s="405">
        <v>50000000</v>
      </c>
      <c r="J91" s="485">
        <v>44056</v>
      </c>
      <c r="K91" s="485">
        <f>J91+35</f>
        <v>44091</v>
      </c>
      <c r="L91" s="405">
        <v>50000000</v>
      </c>
      <c r="M91" s="485">
        <f>J91+180</f>
        <v>44236</v>
      </c>
      <c r="N91" s="405"/>
      <c r="O91" s="405"/>
      <c r="P91" s="485"/>
      <c r="Q91" s="481" t="s">
        <v>287</v>
      </c>
      <c r="R91" s="512" t="s">
        <v>881</v>
      </c>
    </row>
    <row r="92" spans="1:19" s="521" customFormat="1">
      <c r="A92" s="521" t="s">
        <v>147</v>
      </c>
      <c r="B92" s="521" t="s">
        <v>147</v>
      </c>
      <c r="C92" s="521" t="s">
        <v>750</v>
      </c>
      <c r="D92" s="521" t="s">
        <v>43</v>
      </c>
      <c r="E92" s="521" t="s">
        <v>83</v>
      </c>
      <c r="F92" s="525" t="s">
        <v>537</v>
      </c>
      <c r="G92" s="525" t="s">
        <v>538</v>
      </c>
      <c r="H92" s="526">
        <v>0</v>
      </c>
      <c r="I92" s="527"/>
      <c r="J92" s="528"/>
      <c r="K92" s="528"/>
      <c r="L92" s="527"/>
      <c r="M92" s="528"/>
      <c r="N92" s="527"/>
      <c r="O92" s="527"/>
      <c r="P92" s="528"/>
      <c r="Q92" s="521" t="s">
        <v>147</v>
      </c>
      <c r="R92" s="528"/>
    </row>
    <row r="93" spans="1:19" s="475" customFormat="1">
      <c r="A93" s="475" t="s">
        <v>147</v>
      </c>
      <c r="B93" s="475" t="s">
        <v>147</v>
      </c>
      <c r="C93" s="475" t="s">
        <v>753</v>
      </c>
      <c r="D93" s="475" t="s">
        <v>43</v>
      </c>
      <c r="E93" s="475" t="s">
        <v>155</v>
      </c>
      <c r="F93" s="476" t="s">
        <v>544</v>
      </c>
      <c r="G93" s="476" t="s">
        <v>81</v>
      </c>
      <c r="H93" s="486">
        <v>0</v>
      </c>
      <c r="I93" s="477"/>
      <c r="J93" s="478"/>
      <c r="K93" s="478"/>
      <c r="L93" s="477"/>
      <c r="M93" s="478"/>
      <c r="N93" s="477"/>
      <c r="O93" s="477"/>
      <c r="P93" s="478"/>
      <c r="Q93" s="475" t="s">
        <v>307</v>
      </c>
      <c r="R93" s="478"/>
    </row>
    <row r="94" spans="1:19" s="475" customFormat="1">
      <c r="A94" s="475" t="s">
        <v>147</v>
      </c>
      <c r="B94" s="475" t="s">
        <v>147</v>
      </c>
      <c r="C94" s="475" t="s">
        <v>755</v>
      </c>
      <c r="D94" s="475" t="s">
        <v>43</v>
      </c>
      <c r="E94" s="475" t="s">
        <v>756</v>
      </c>
      <c r="F94" s="476" t="s">
        <v>458</v>
      </c>
      <c r="G94" s="476" t="s">
        <v>757</v>
      </c>
      <c r="H94" s="486">
        <v>0</v>
      </c>
      <c r="I94" s="477"/>
      <c r="J94" s="478"/>
      <c r="K94" s="478"/>
      <c r="L94" s="477"/>
      <c r="M94" s="478"/>
      <c r="N94" s="477"/>
      <c r="O94" s="477"/>
      <c r="P94" s="478"/>
      <c r="Q94" s="475" t="s">
        <v>307</v>
      </c>
      <c r="R94" s="478"/>
    </row>
    <row r="95" spans="1:19" s="475" customFormat="1">
      <c r="A95" s="475" t="s">
        <v>147</v>
      </c>
      <c r="B95" s="475" t="s">
        <v>147</v>
      </c>
      <c r="C95" s="475" t="s">
        <v>758</v>
      </c>
      <c r="D95" s="475" t="s">
        <v>43</v>
      </c>
      <c r="E95" s="475" t="s">
        <v>323</v>
      </c>
      <c r="F95" s="476" t="s">
        <v>543</v>
      </c>
      <c r="G95" s="476" t="s">
        <v>78</v>
      </c>
      <c r="H95" s="486">
        <v>0</v>
      </c>
      <c r="I95" s="477"/>
      <c r="J95" s="478"/>
      <c r="K95" s="478"/>
      <c r="L95" s="477"/>
      <c r="M95" s="478"/>
      <c r="N95" s="477"/>
      <c r="O95" s="477"/>
      <c r="P95" s="478"/>
      <c r="Q95" s="475" t="s">
        <v>219</v>
      </c>
      <c r="R95" s="478"/>
    </row>
    <row r="96" spans="1:19" s="521" customFormat="1">
      <c r="A96" s="521" t="s">
        <v>147</v>
      </c>
      <c r="B96" s="521" t="s">
        <v>147</v>
      </c>
      <c r="C96" s="521" t="s">
        <v>774</v>
      </c>
      <c r="D96" s="521" t="s">
        <v>43</v>
      </c>
      <c r="E96" s="521" t="s">
        <v>83</v>
      </c>
      <c r="F96" s="525" t="s">
        <v>775</v>
      </c>
      <c r="G96" s="525" t="s">
        <v>776</v>
      </c>
      <c r="H96" s="526">
        <v>0</v>
      </c>
      <c r="I96" s="527"/>
      <c r="J96" s="528"/>
      <c r="K96" s="528"/>
      <c r="L96" s="527"/>
      <c r="M96" s="528"/>
      <c r="N96" s="527"/>
      <c r="O96" s="527"/>
      <c r="P96" s="528"/>
      <c r="Q96" s="521" t="s">
        <v>147</v>
      </c>
      <c r="R96" s="528"/>
    </row>
    <row r="97" spans="1:19" s="475" customFormat="1">
      <c r="A97" s="475" t="s">
        <v>147</v>
      </c>
      <c r="B97" s="475" t="s">
        <v>147</v>
      </c>
      <c r="C97" s="475" t="s">
        <v>778</v>
      </c>
      <c r="D97" s="475" t="s">
        <v>43</v>
      </c>
      <c r="E97" s="475" t="s">
        <v>155</v>
      </c>
      <c r="F97" s="476" t="s">
        <v>779</v>
      </c>
      <c r="G97" s="476" t="s">
        <v>81</v>
      </c>
      <c r="H97" s="486">
        <v>0</v>
      </c>
      <c r="I97" s="477"/>
      <c r="J97" s="478"/>
      <c r="K97" s="478"/>
      <c r="L97" s="477"/>
      <c r="M97" s="478"/>
      <c r="N97" s="477"/>
      <c r="O97" s="477"/>
      <c r="P97" s="478"/>
      <c r="Q97" s="475" t="s">
        <v>307</v>
      </c>
      <c r="R97" s="478"/>
    </row>
    <row r="98" spans="1:19" s="521" customFormat="1">
      <c r="A98" s="521" t="s">
        <v>147</v>
      </c>
      <c r="B98" s="521" t="s">
        <v>147</v>
      </c>
      <c r="C98" s="521" t="s">
        <v>780</v>
      </c>
      <c r="D98" s="521" t="s">
        <v>43</v>
      </c>
      <c r="E98" s="521" t="s">
        <v>83</v>
      </c>
      <c r="F98" s="525" t="s">
        <v>532</v>
      </c>
      <c r="G98" s="525" t="s">
        <v>82</v>
      </c>
      <c r="H98" s="526">
        <v>0</v>
      </c>
      <c r="I98" s="527"/>
      <c r="J98" s="528"/>
      <c r="K98" s="528"/>
      <c r="L98" s="527"/>
      <c r="M98" s="528"/>
      <c r="N98" s="527"/>
      <c r="O98" s="527"/>
      <c r="P98" s="528"/>
      <c r="Q98" s="521" t="s">
        <v>147</v>
      </c>
      <c r="R98" s="528"/>
    </row>
    <row r="99" spans="1:19" s="521" customFormat="1">
      <c r="A99" s="521" t="s">
        <v>147</v>
      </c>
      <c r="B99" s="521" t="s">
        <v>147</v>
      </c>
      <c r="C99" s="521" t="s">
        <v>789</v>
      </c>
      <c r="D99" s="521" t="s">
        <v>43</v>
      </c>
      <c r="E99" s="521" t="s">
        <v>247</v>
      </c>
      <c r="F99" s="525" t="s">
        <v>327</v>
      </c>
      <c r="G99" s="525" t="s">
        <v>248</v>
      </c>
      <c r="H99" s="526">
        <v>0</v>
      </c>
      <c r="I99" s="527"/>
      <c r="J99" s="528"/>
      <c r="K99" s="528"/>
      <c r="L99" s="527"/>
      <c r="M99" s="528"/>
      <c r="N99" s="527"/>
      <c r="O99" s="527"/>
      <c r="P99" s="528"/>
      <c r="Q99" s="521" t="s">
        <v>147</v>
      </c>
      <c r="R99" s="528"/>
    </row>
    <row r="100" spans="1:19" s="437" customFormat="1">
      <c r="A100" s="437" t="s">
        <v>147</v>
      </c>
      <c r="B100" s="437" t="s">
        <v>147</v>
      </c>
      <c r="C100" s="437">
        <v>5192</v>
      </c>
      <c r="D100" s="437" t="s">
        <v>632</v>
      </c>
      <c r="E100" s="437" t="s">
        <v>315</v>
      </c>
      <c r="F100" s="438" t="s">
        <v>790</v>
      </c>
      <c r="G100" s="438" t="s">
        <v>78</v>
      </c>
      <c r="H100" s="489">
        <v>20000000</v>
      </c>
      <c r="I100" s="359">
        <v>20000000</v>
      </c>
      <c r="J100" s="440">
        <v>44006</v>
      </c>
      <c r="K100" s="440">
        <f>J100+35</f>
        <v>44041</v>
      </c>
      <c r="L100" s="359">
        <v>20000000</v>
      </c>
      <c r="M100" s="440">
        <f>J100+180</f>
        <v>44186</v>
      </c>
      <c r="N100" s="359">
        <v>0</v>
      </c>
      <c r="O100" s="359">
        <f>L100-N100</f>
        <v>20000000</v>
      </c>
      <c r="P100" s="440">
        <v>44050</v>
      </c>
      <c r="Q100" s="437" t="s">
        <v>147</v>
      </c>
      <c r="R100" s="440"/>
      <c r="S100" s="437" t="s">
        <v>731</v>
      </c>
    </row>
    <row r="101" spans="1:19" s="521" customFormat="1">
      <c r="A101" s="521" t="s">
        <v>147</v>
      </c>
      <c r="B101" s="521" t="s">
        <v>147</v>
      </c>
      <c r="C101" s="521" t="s">
        <v>857</v>
      </c>
      <c r="D101" s="521" t="s">
        <v>43</v>
      </c>
      <c r="E101" s="521" t="s">
        <v>579</v>
      </c>
      <c r="F101" s="525" t="s">
        <v>580</v>
      </c>
      <c r="G101" s="525" t="s">
        <v>581</v>
      </c>
      <c r="H101" s="526">
        <v>0</v>
      </c>
      <c r="I101" s="527"/>
      <c r="J101" s="528"/>
      <c r="K101" s="528"/>
      <c r="L101" s="527"/>
      <c r="M101" s="528"/>
      <c r="N101" s="527"/>
      <c r="O101" s="527"/>
      <c r="P101" s="528"/>
      <c r="Q101" s="521" t="s">
        <v>147</v>
      </c>
      <c r="R101" s="528"/>
    </row>
    <row r="102" spans="1:19" s="475" customFormat="1">
      <c r="A102" s="475" t="s">
        <v>147</v>
      </c>
      <c r="B102" s="475" t="s">
        <v>147</v>
      </c>
      <c r="C102" s="475" t="s">
        <v>868</v>
      </c>
      <c r="D102" s="475" t="s">
        <v>43</v>
      </c>
      <c r="E102" s="475" t="s">
        <v>314</v>
      </c>
      <c r="F102" s="476" t="s">
        <v>534</v>
      </c>
      <c r="G102" s="476" t="s">
        <v>79</v>
      </c>
      <c r="H102" s="486">
        <v>0</v>
      </c>
      <c r="I102" s="477"/>
      <c r="J102" s="478"/>
      <c r="K102" s="478"/>
      <c r="L102" s="477"/>
      <c r="M102" s="478"/>
      <c r="N102" s="477"/>
      <c r="O102" s="477"/>
      <c r="P102" s="478"/>
      <c r="Q102" s="475" t="s">
        <v>219</v>
      </c>
      <c r="R102" s="478"/>
    </row>
    <row r="103" spans="1:19" s="475" customFormat="1">
      <c r="A103" s="475" t="s">
        <v>147</v>
      </c>
      <c r="B103" s="475" t="s">
        <v>147</v>
      </c>
      <c r="C103" s="475" t="s">
        <v>877</v>
      </c>
      <c r="D103" s="475" t="s">
        <v>43</v>
      </c>
      <c r="E103" s="475" t="s">
        <v>244</v>
      </c>
      <c r="F103" s="476" t="s">
        <v>325</v>
      </c>
      <c r="G103" s="476" t="s">
        <v>142</v>
      </c>
      <c r="H103" s="486">
        <v>0</v>
      </c>
      <c r="I103" s="477"/>
      <c r="J103" s="478"/>
      <c r="K103" s="478"/>
      <c r="L103" s="477"/>
      <c r="M103" s="478"/>
      <c r="N103" s="477"/>
      <c r="O103" s="477"/>
      <c r="P103" s="478"/>
      <c r="Q103" s="475" t="s">
        <v>307</v>
      </c>
      <c r="R103" s="478"/>
    </row>
    <row r="104" spans="1:19" s="521" customFormat="1">
      <c r="A104" s="521" t="s">
        <v>147</v>
      </c>
      <c r="B104" s="521" t="s">
        <v>147</v>
      </c>
      <c r="C104" s="521" t="s">
        <v>878</v>
      </c>
      <c r="D104" s="521" t="s">
        <v>43</v>
      </c>
      <c r="E104" s="521" t="s">
        <v>83</v>
      </c>
      <c r="F104" s="525" t="s">
        <v>879</v>
      </c>
      <c r="G104" s="525" t="s">
        <v>880</v>
      </c>
      <c r="H104" s="526">
        <v>0</v>
      </c>
      <c r="I104" s="527"/>
      <c r="J104" s="528"/>
      <c r="K104" s="528"/>
      <c r="L104" s="527"/>
      <c r="M104" s="528"/>
      <c r="N104" s="527"/>
      <c r="O104" s="527"/>
      <c r="P104" s="528"/>
      <c r="Q104" s="521" t="s">
        <v>147</v>
      </c>
      <c r="R104" s="528"/>
    </row>
    <row r="105" spans="1:19" s="13" customFormat="1">
      <c r="F105" s="36"/>
      <c r="G105" s="36"/>
      <c r="H105" s="66"/>
      <c r="I105" s="27"/>
      <c r="J105" s="11"/>
      <c r="K105" s="11"/>
      <c r="L105" s="27"/>
      <c r="M105" s="11"/>
      <c r="N105" s="27"/>
      <c r="O105" s="27"/>
      <c r="P105" s="11"/>
      <c r="R105" s="11"/>
    </row>
    <row r="106" spans="1:19" s="13" customFormat="1">
      <c r="A106" s="43"/>
      <c r="B106" s="43"/>
      <c r="C106" s="43"/>
      <c r="D106" s="43"/>
      <c r="E106" s="1"/>
      <c r="F106" s="13" t="s">
        <v>19</v>
      </c>
      <c r="H106" s="263">
        <f>SUM(H7:H105)</f>
        <v>2725078060</v>
      </c>
      <c r="I106" s="263">
        <f>SUM(I7:I105)</f>
        <v>2725078060</v>
      </c>
      <c r="J106" s="3"/>
      <c r="K106" s="1"/>
      <c r="L106" s="263">
        <f>SUM(L7:L105)</f>
        <v>2266939030</v>
      </c>
      <c r="M106" s="3"/>
      <c r="N106" s="263">
        <f t="shared" ref="N106:O106" si="4">SUM(N7:N105)</f>
        <v>589022154.33000004</v>
      </c>
      <c r="O106" s="263">
        <f t="shared" si="4"/>
        <v>1831236390.6700001</v>
      </c>
    </row>
    <row r="107" spans="1:19">
      <c r="A107" s="5"/>
      <c r="B107" s="5"/>
      <c r="C107" s="5"/>
      <c r="D107" s="88"/>
      <c r="F107" s="13"/>
      <c r="J107" s="3"/>
      <c r="K107" s="3"/>
      <c r="M107" s="3"/>
    </row>
    <row r="108" spans="1:19">
      <c r="A108" s="5"/>
      <c r="B108" s="5"/>
      <c r="C108" s="5"/>
      <c r="E108" s="5"/>
      <c r="F108" s="13" t="s">
        <v>43</v>
      </c>
      <c r="G108" s="5"/>
      <c r="H108" s="34">
        <f>H106-I106</f>
        <v>0</v>
      </c>
      <c r="I108" s="9"/>
      <c r="J108" s="3"/>
      <c r="K108" s="3"/>
      <c r="M108" s="76"/>
    </row>
    <row r="109" spans="1:19">
      <c r="A109" s="5"/>
      <c r="B109" s="5"/>
      <c r="C109" s="5"/>
      <c r="E109" s="5"/>
      <c r="G109" s="5"/>
      <c r="H109" s="67"/>
      <c r="I109" s="9"/>
      <c r="J109" s="3"/>
      <c r="K109" s="3"/>
      <c r="L109" s="3"/>
      <c r="M109" s="76"/>
      <c r="O109" s="3"/>
    </row>
    <row r="110" spans="1:19">
      <c r="A110" s="5"/>
      <c r="B110" s="5"/>
      <c r="C110" s="5"/>
      <c r="E110" s="133"/>
      <c r="F110" s="58" t="s">
        <v>75</v>
      </c>
      <c r="G110" s="5"/>
      <c r="H110" s="349">
        <f>E1-I106+O106+G116</f>
        <v>230967554.67000008</v>
      </c>
      <c r="I110" s="195"/>
      <c r="J110" s="3"/>
      <c r="K110" s="3"/>
      <c r="L110" s="3"/>
      <c r="M110" s="3"/>
      <c r="N110" s="9"/>
    </row>
    <row r="111" spans="1:19">
      <c r="A111" s="5"/>
      <c r="B111" s="5"/>
      <c r="C111" s="5"/>
      <c r="H111" s="251"/>
      <c r="J111" s="358"/>
      <c r="K111" s="3"/>
      <c r="L111" s="257"/>
      <c r="M111" s="3"/>
      <c r="N111" s="9"/>
    </row>
    <row r="112" spans="1:19">
      <c r="A112" s="5"/>
      <c r="B112" s="5"/>
      <c r="C112" s="5"/>
      <c r="H112" s="83"/>
      <c r="I112" s="171"/>
      <c r="J112" s="519"/>
      <c r="K112" s="3"/>
      <c r="L112" s="257"/>
      <c r="M112" s="3"/>
      <c r="N112" s="83"/>
    </row>
    <row r="113" spans="3:18" s="13" customFormat="1">
      <c r="G113" s="148"/>
      <c r="H113" s="368"/>
      <c r="I113" s="315"/>
      <c r="J113" s="519"/>
      <c r="K113" s="11"/>
      <c r="L113" s="545"/>
      <c r="M113" s="11"/>
      <c r="N113" s="49"/>
      <c r="P113" s="11"/>
      <c r="R113" s="43"/>
    </row>
    <row r="114" spans="3:18" s="13" customFormat="1">
      <c r="C114" s="43"/>
      <c r="D114" s="1"/>
      <c r="E114" s="148"/>
      <c r="F114" s="43"/>
      <c r="G114" s="9"/>
      <c r="H114" s="210"/>
      <c r="I114" s="315"/>
      <c r="J114" s="519"/>
      <c r="K114" s="429"/>
      <c r="L114" s="353"/>
      <c r="M114" s="10"/>
      <c r="N114" s="10"/>
      <c r="O114" s="10"/>
      <c r="P114" s="11"/>
      <c r="R114" s="43"/>
    </row>
    <row r="115" spans="3:18" s="13" customFormat="1">
      <c r="D115" s="1"/>
      <c r="E115" s="1"/>
      <c r="F115" s="148"/>
      <c r="G115" s="497"/>
      <c r="H115" s="210"/>
      <c r="I115" s="315"/>
      <c r="J115" s="368"/>
      <c r="K115" s="11"/>
      <c r="L115" s="368"/>
      <c r="M115" s="49"/>
      <c r="N115" s="368"/>
      <c r="O115" s="289"/>
      <c r="P115" s="11"/>
      <c r="R115" s="43"/>
    </row>
    <row r="116" spans="3:18">
      <c r="E116" s="43"/>
      <c r="G116" s="302">
        <f>SUM(G115:G115)</f>
        <v>0</v>
      </c>
      <c r="H116" s="3"/>
      <c r="I116" s="3"/>
      <c r="M116" s="411"/>
      <c r="N116" s="167"/>
    </row>
    <row r="117" spans="3:18">
      <c r="E117" s="43"/>
      <c r="I117" s="83"/>
      <c r="M117" s="411"/>
      <c r="N117" s="552"/>
      <c r="Q117" s="1"/>
    </row>
    <row r="118" spans="3:18">
      <c r="J118" s="3"/>
      <c r="N118" s="553"/>
      <c r="Q118" s="1"/>
    </row>
    <row r="119" spans="3:18">
      <c r="J119" s="3"/>
      <c r="Q119" s="1"/>
    </row>
    <row r="120" spans="3:18">
      <c r="J120" s="3"/>
      <c r="Q120" s="1"/>
    </row>
    <row r="121" spans="3:18">
      <c r="J121" s="3"/>
      <c r="Q121" s="1"/>
    </row>
    <row r="122" spans="3:18">
      <c r="G122" s="167"/>
      <c r="Q122" s="1"/>
    </row>
    <row r="123" spans="3:18">
      <c r="G123" s="14"/>
      <c r="H123" s="1"/>
      <c r="Q123" s="1"/>
    </row>
    <row r="124" spans="3:18">
      <c r="G124" s="411"/>
      <c r="Q124" s="1"/>
    </row>
    <row r="125" spans="3:18">
      <c r="G125" s="3"/>
      <c r="H125" s="3"/>
      <c r="I125" s="3"/>
      <c r="J125" s="3"/>
      <c r="K125" s="3"/>
      <c r="L125" s="3"/>
      <c r="M125" s="3"/>
      <c r="Q125" s="1"/>
    </row>
    <row r="126" spans="3:18">
      <c r="G126" s="3"/>
      <c r="H126" s="3"/>
      <c r="I126" s="3"/>
      <c r="J126" s="3"/>
      <c r="K126" s="3"/>
      <c r="L126" s="3"/>
      <c r="M126" s="3"/>
      <c r="Q126" s="1"/>
    </row>
    <row r="127" spans="3:18">
      <c r="H127" s="1"/>
      <c r="L127" s="1"/>
      <c r="Q127" s="1"/>
    </row>
    <row r="128" spans="3:18">
      <c r="H128" s="1"/>
      <c r="L128" s="1"/>
      <c r="Q128" s="1"/>
    </row>
    <row r="129" spans="7:17">
      <c r="H129" s="1"/>
      <c r="L129" s="1"/>
      <c r="Q129" s="1"/>
    </row>
    <row r="130" spans="7:17">
      <c r="G130" s="168"/>
      <c r="H130" s="168"/>
      <c r="I130" s="168"/>
      <c r="J130" s="168"/>
      <c r="K130" s="168"/>
      <c r="L130" s="168"/>
      <c r="M130" s="168"/>
      <c r="Q130" s="1"/>
    </row>
    <row r="131" spans="7:17">
      <c r="G131" s="168"/>
      <c r="H131" s="168"/>
      <c r="I131" s="168"/>
      <c r="J131" s="168"/>
      <c r="K131" s="168"/>
      <c r="L131" s="168"/>
      <c r="M131" s="168"/>
      <c r="Q131" s="1"/>
    </row>
    <row r="132" spans="7:17">
      <c r="G132" s="167"/>
      <c r="Q132" s="1"/>
    </row>
    <row r="133" spans="7:17">
      <c r="G133" s="412"/>
      <c r="H133" s="1"/>
      <c r="L133" s="1"/>
      <c r="Q133" s="1"/>
    </row>
    <row r="134" spans="7:17">
      <c r="G134" s="413"/>
      <c r="H134" s="1"/>
      <c r="L134" s="1"/>
      <c r="Q134" s="1"/>
    </row>
    <row r="136" spans="7:17">
      <c r="G136" s="168"/>
      <c r="H136" s="1"/>
      <c r="L136" s="1"/>
      <c r="Q136" s="1"/>
    </row>
  </sheetData>
  <autoFilter ref="A6:S95" xr:uid="{00000000-0001-0000-1400-000000000000}">
    <sortState xmlns:xlrd2="http://schemas.microsoft.com/office/spreadsheetml/2017/richdata2" ref="A7:S95">
      <sortCondition ref="B6:B95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T37"/>
  <sheetViews>
    <sheetView workbookViewId="0">
      <selection activeCell="M30" sqref="M30"/>
    </sheetView>
  </sheetViews>
  <sheetFormatPr defaultRowHeight="12"/>
  <cols>
    <col min="1" max="1" width="11" bestFit="1" customWidth="1"/>
    <col min="2" max="2" width="12" customWidth="1"/>
    <col min="3" max="3" width="32.5703125" bestFit="1" customWidth="1"/>
    <col min="4" max="4" width="40.1406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6.4257812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7" bestFit="1" customWidth="1"/>
    <col min="16" max="16" width="11.42578125" customWidth="1"/>
    <col min="17" max="18" width="17" bestFit="1" customWidth="1"/>
    <col min="20" max="20" width="26.7109375" bestFit="1" customWidth="1"/>
  </cols>
  <sheetData>
    <row r="1" spans="1:20" ht="12.75">
      <c r="A1" s="159"/>
      <c r="B1" s="159" t="s">
        <v>174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278" t="s">
        <v>22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278" t="s">
        <v>5</v>
      </c>
      <c r="T3" s="344" t="s">
        <v>595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280" t="s">
        <v>9</v>
      </c>
      <c r="T4" s="345" t="s">
        <v>919</v>
      </c>
    </row>
    <row r="5" spans="1:20">
      <c r="A5" s="31" t="s">
        <v>151</v>
      </c>
    </row>
    <row r="6" spans="1:20" s="1" customFormat="1">
      <c r="A6" s="137" t="s">
        <v>181</v>
      </c>
      <c r="B6" s="1" t="s">
        <v>77</v>
      </c>
      <c r="C6" s="1" t="s">
        <v>98</v>
      </c>
      <c r="D6" s="148" t="s">
        <v>94</v>
      </c>
      <c r="E6" s="1" t="s">
        <v>79</v>
      </c>
      <c r="F6" s="9">
        <v>45000000</v>
      </c>
      <c r="G6" s="9">
        <f>F6</f>
        <v>45000000</v>
      </c>
      <c r="H6" s="3">
        <v>43104</v>
      </c>
      <c r="I6" s="3">
        <v>43111</v>
      </c>
      <c r="J6" s="9">
        <v>4500000</v>
      </c>
      <c r="K6" s="3">
        <v>44195</v>
      </c>
      <c r="L6" s="9">
        <v>4500000</v>
      </c>
      <c r="M6" s="9">
        <f>J6-L6</f>
        <v>0</v>
      </c>
      <c r="N6" s="3">
        <v>44043</v>
      </c>
      <c r="O6" s="1" t="s">
        <v>665</v>
      </c>
      <c r="T6" s="9">
        <f>M6</f>
        <v>0</v>
      </c>
    </row>
    <row r="7" spans="1:20" s="1" customFormat="1">
      <c r="A7" s="137" t="s">
        <v>196</v>
      </c>
      <c r="B7" s="1" t="s">
        <v>77</v>
      </c>
      <c r="C7" s="1" t="s">
        <v>98</v>
      </c>
      <c r="D7" s="1" t="s">
        <v>94</v>
      </c>
      <c r="E7" s="1" t="s">
        <v>79</v>
      </c>
      <c r="F7" s="9">
        <v>26000000</v>
      </c>
      <c r="G7" s="83">
        <v>24201050.400000006</v>
      </c>
      <c r="H7" s="3">
        <v>43111</v>
      </c>
      <c r="I7" s="3">
        <v>43119</v>
      </c>
      <c r="J7" s="83">
        <f>G7</f>
        <v>24201050.400000006</v>
      </c>
      <c r="K7" s="3">
        <v>44195</v>
      </c>
      <c r="L7" s="83">
        <v>24201050.399999999</v>
      </c>
      <c r="M7" s="83">
        <f>J7-L7</f>
        <v>0</v>
      </c>
      <c r="N7" s="3">
        <v>44043</v>
      </c>
      <c r="O7" s="1" t="s">
        <v>825</v>
      </c>
      <c r="T7" s="83">
        <f>M7</f>
        <v>0</v>
      </c>
    </row>
    <row r="9" spans="1:20">
      <c r="F9" s="194">
        <f>SUM(F6:F8)</f>
        <v>71000000</v>
      </c>
      <c r="G9" s="331">
        <f>SUM(G6:G8)</f>
        <v>69201050.400000006</v>
      </c>
      <c r="H9" s="133"/>
      <c r="I9" s="133"/>
      <c r="J9" s="331">
        <f>SUM(J6:J8)</f>
        <v>28701050.400000006</v>
      </c>
      <c r="K9" s="133"/>
      <c r="L9" s="85">
        <f>SUM(L6:L8)</f>
        <v>28701050.399999999</v>
      </c>
      <c r="M9" s="354">
        <f>SUM(M6:M8)</f>
        <v>0</v>
      </c>
      <c r="T9" s="331">
        <f>SUM(T6:T7)</f>
        <v>0</v>
      </c>
    </row>
    <row r="11" spans="1:20">
      <c r="G11" s="198"/>
      <c r="L11" s="198"/>
    </row>
    <row r="12" spans="1:20" ht="12.75" thickBot="1"/>
    <row r="13" spans="1:20" ht="12.75">
      <c r="A13" s="159"/>
      <c r="B13" s="159" t="s">
        <v>198</v>
      </c>
      <c r="C13" s="131"/>
      <c r="D13" s="131"/>
      <c r="E13" s="131"/>
      <c r="F13" s="181"/>
      <c r="G13" s="181"/>
      <c r="H13" s="181"/>
      <c r="I13" s="181"/>
      <c r="J13" s="181"/>
      <c r="K13" s="181"/>
      <c r="L13" s="181"/>
      <c r="M13" s="181"/>
      <c r="N13" s="281"/>
    </row>
    <row r="14" spans="1:20" ht="12.75">
      <c r="A14" s="153" t="s">
        <v>32</v>
      </c>
      <c r="B14" s="273" t="s">
        <v>37</v>
      </c>
      <c r="C14" s="274" t="s">
        <v>31</v>
      </c>
      <c r="D14" s="282" t="s">
        <v>49</v>
      </c>
      <c r="E14" s="282" t="s">
        <v>45</v>
      </c>
      <c r="F14" s="176" t="s">
        <v>84</v>
      </c>
      <c r="G14" s="176" t="s">
        <v>54</v>
      </c>
      <c r="H14" s="276"/>
      <c r="I14" s="276" t="s">
        <v>34</v>
      </c>
      <c r="J14" s="177" t="s">
        <v>87</v>
      </c>
      <c r="K14" s="276"/>
      <c r="L14" s="176" t="s">
        <v>92</v>
      </c>
      <c r="M14" s="277" t="s">
        <v>89</v>
      </c>
      <c r="N14" s="278" t="s">
        <v>22</v>
      </c>
    </row>
    <row r="15" spans="1:20" ht="12.75">
      <c r="A15" s="153" t="s">
        <v>48</v>
      </c>
      <c r="B15" s="279"/>
      <c r="C15" s="274"/>
      <c r="D15" s="282"/>
      <c r="E15" s="282"/>
      <c r="F15" s="176" t="s">
        <v>55</v>
      </c>
      <c r="G15" s="176" t="s">
        <v>55</v>
      </c>
      <c r="H15" s="276" t="s">
        <v>9</v>
      </c>
      <c r="I15" s="276" t="s">
        <v>18</v>
      </c>
      <c r="J15" s="177" t="s">
        <v>55</v>
      </c>
      <c r="K15" s="276" t="s">
        <v>18</v>
      </c>
      <c r="L15" s="176" t="s">
        <v>55</v>
      </c>
      <c r="M15" s="277" t="s">
        <v>90</v>
      </c>
      <c r="N15" s="278" t="s">
        <v>5</v>
      </c>
    </row>
    <row r="16" spans="1:20" ht="13.5" thickBot="1">
      <c r="A16" s="154" t="s">
        <v>17</v>
      </c>
      <c r="B16" s="155"/>
      <c r="C16" s="156"/>
      <c r="D16" s="158"/>
      <c r="E16" s="158"/>
      <c r="F16" s="178"/>
      <c r="G16" s="178"/>
      <c r="H16" s="179"/>
      <c r="I16" s="179"/>
      <c r="J16" s="182"/>
      <c r="K16" s="179"/>
      <c r="L16" s="178"/>
      <c r="M16" s="183" t="s">
        <v>93</v>
      </c>
      <c r="N16" s="280" t="s">
        <v>9</v>
      </c>
    </row>
    <row r="17" spans="1:20">
      <c r="A17" s="169" t="s">
        <v>94</v>
      </c>
      <c r="F17" s="185"/>
      <c r="G17" s="188"/>
      <c r="H17" s="152"/>
      <c r="I17" s="185"/>
      <c r="J17" s="185"/>
      <c r="K17" s="291"/>
      <c r="L17" s="374"/>
      <c r="N17" s="152"/>
    </row>
    <row r="18" spans="1:20">
      <c r="A18" s="43">
        <v>4789</v>
      </c>
      <c r="B18" s="43" t="s">
        <v>77</v>
      </c>
      <c r="C18" s="148" t="s">
        <v>144</v>
      </c>
      <c r="D18" s="148" t="s">
        <v>94</v>
      </c>
      <c r="E18" s="148" t="s">
        <v>82</v>
      </c>
      <c r="F18" s="83">
        <v>13418261.6</v>
      </c>
      <c r="G18" s="83">
        <v>13418261.6</v>
      </c>
      <c r="H18" s="3">
        <v>42958</v>
      </c>
      <c r="I18" s="152">
        <v>42993</v>
      </c>
      <c r="J18" s="83">
        <v>1544975.3899999987</v>
      </c>
      <c r="K18" s="152">
        <v>44195</v>
      </c>
      <c r="L18" s="83">
        <v>0</v>
      </c>
      <c r="M18" s="83">
        <f>J18-L18</f>
        <v>1544975.3899999987</v>
      </c>
      <c r="N18" s="152">
        <v>43686</v>
      </c>
      <c r="O18" s="43"/>
      <c r="Q18" s="249"/>
      <c r="T18" s="144">
        <f>M18</f>
        <v>1544975.3899999987</v>
      </c>
    </row>
    <row r="19" spans="1:20">
      <c r="A19" s="43">
        <v>4798</v>
      </c>
      <c r="B19" s="43" t="s">
        <v>77</v>
      </c>
      <c r="C19" s="148" t="s">
        <v>145</v>
      </c>
      <c r="D19" s="148" t="s">
        <v>94</v>
      </c>
      <c r="E19" s="148" t="s">
        <v>81</v>
      </c>
      <c r="F19" s="9">
        <v>45000000</v>
      </c>
      <c r="G19" s="9">
        <v>45000000</v>
      </c>
      <c r="H19" s="3">
        <v>42964</v>
      </c>
      <c r="I19" s="152">
        <v>42999</v>
      </c>
      <c r="J19" s="9">
        <v>5650000</v>
      </c>
      <c r="K19" s="152">
        <v>43144</v>
      </c>
      <c r="L19" s="83">
        <v>2000000</v>
      </c>
      <c r="M19" s="9">
        <f t="shared" ref="M19:M20" si="0">J19-L19</f>
        <v>3650000</v>
      </c>
      <c r="N19" s="152">
        <v>44021</v>
      </c>
      <c r="O19" s="43" t="s">
        <v>803</v>
      </c>
      <c r="P19" s="210"/>
      <c r="T19" s="124">
        <f t="shared" ref="T19:T20" si="1">M19</f>
        <v>3650000</v>
      </c>
    </row>
    <row r="20" spans="1:20">
      <c r="A20" s="43">
        <v>4805</v>
      </c>
      <c r="B20" s="43" t="s">
        <v>77</v>
      </c>
      <c r="C20" s="148" t="s">
        <v>170</v>
      </c>
      <c r="D20" s="148" t="s">
        <v>94</v>
      </c>
      <c r="E20" s="148" t="s">
        <v>171</v>
      </c>
      <c r="F20" s="9">
        <v>40000000</v>
      </c>
      <c r="G20" s="9">
        <v>40000000</v>
      </c>
      <c r="H20" s="3">
        <v>43026</v>
      </c>
      <c r="I20" s="152">
        <v>43061</v>
      </c>
      <c r="J20" s="9">
        <v>2000000</v>
      </c>
      <c r="K20" s="152">
        <v>44195</v>
      </c>
      <c r="L20" s="83">
        <v>0</v>
      </c>
      <c r="M20" s="9">
        <f t="shared" si="0"/>
        <v>2000000</v>
      </c>
      <c r="N20" s="152">
        <v>43294</v>
      </c>
      <c r="O20" s="366"/>
      <c r="P20" s="43"/>
      <c r="T20" s="124">
        <f t="shared" si="1"/>
        <v>2000000</v>
      </c>
    </row>
    <row r="21" spans="1:20">
      <c r="A21" s="43"/>
      <c r="B21" s="43"/>
      <c r="C21" s="148"/>
      <c r="D21" s="148"/>
      <c r="E21" s="148"/>
      <c r="F21" s="9"/>
      <c r="G21" s="9"/>
      <c r="H21" s="3"/>
      <c r="I21" s="152"/>
      <c r="J21" s="9"/>
      <c r="K21" s="152"/>
      <c r="L21" s="27"/>
      <c r="M21" s="9"/>
      <c r="N21" s="152"/>
    </row>
    <row r="22" spans="1:20">
      <c r="A22" s="13"/>
      <c r="B22" s="43"/>
      <c r="C22" s="148"/>
      <c r="D22" s="148"/>
      <c r="E22" s="148"/>
      <c r="F22" s="71"/>
      <c r="G22" s="71"/>
      <c r="H22" s="3"/>
      <c r="I22" s="3"/>
      <c r="J22" s="77">
        <f>SUM(J18:J21)</f>
        <v>9194975.3899999987</v>
      </c>
      <c r="K22" s="7"/>
      <c r="L22" s="77">
        <f>SUM(L18:L21)</f>
        <v>2000000</v>
      </c>
      <c r="M22" s="349">
        <f>SUM(M18:M21)</f>
        <v>7194975.3899999987</v>
      </c>
      <c r="N22" s="152"/>
      <c r="T22" s="331">
        <f>SUM(T18:T20)</f>
        <v>7194975.3899999987</v>
      </c>
    </row>
    <row r="23" spans="1:20" ht="12.75" thickBot="1">
      <c r="F23" s="185"/>
      <c r="G23" s="185"/>
      <c r="H23" s="185"/>
      <c r="I23" s="185"/>
      <c r="J23" s="185"/>
      <c r="K23" s="185"/>
      <c r="M23" s="198"/>
      <c r="N23" s="152"/>
    </row>
    <row r="24" spans="1:20">
      <c r="A24" s="169" t="s">
        <v>60</v>
      </c>
      <c r="F24" s="185"/>
      <c r="G24" s="188"/>
      <c r="H24" s="152"/>
      <c r="I24" s="185"/>
      <c r="J24" s="185"/>
      <c r="K24" s="185"/>
      <c r="N24" s="152"/>
    </row>
    <row r="25" spans="1:20">
      <c r="A25" s="43">
        <v>4792</v>
      </c>
      <c r="B25" s="43" t="s">
        <v>77</v>
      </c>
      <c r="C25" s="148" t="s">
        <v>83</v>
      </c>
      <c r="D25" s="43" t="s">
        <v>382</v>
      </c>
      <c r="E25" s="43" t="s">
        <v>149</v>
      </c>
      <c r="F25" s="468">
        <v>85000000</v>
      </c>
      <c r="G25" s="149">
        <v>85000000</v>
      </c>
      <c r="H25" s="469">
        <v>42959</v>
      </c>
      <c r="I25" s="152">
        <v>42994</v>
      </c>
      <c r="J25" s="149">
        <v>35000000</v>
      </c>
      <c r="K25" s="469">
        <v>44195</v>
      </c>
      <c r="L25" s="149">
        <v>35000000</v>
      </c>
      <c r="M25" s="76">
        <f>J25-L25</f>
        <v>0</v>
      </c>
      <c r="N25" s="152">
        <v>44000</v>
      </c>
      <c r="O25" s="43" t="s">
        <v>652</v>
      </c>
      <c r="P25" s="210"/>
      <c r="T25" s="124">
        <f t="shared" ref="T25" si="2">M25</f>
        <v>0</v>
      </c>
    </row>
    <row r="26" spans="1:20">
      <c r="I26" s="200"/>
      <c r="N26" s="152"/>
    </row>
    <row r="27" spans="1:20">
      <c r="I27" s="198"/>
      <c r="J27" s="77">
        <f>SUM(J25:J26)</f>
        <v>35000000</v>
      </c>
      <c r="K27" s="186"/>
      <c r="L27" s="77">
        <f>SUM(L25:L26)</f>
        <v>35000000</v>
      </c>
      <c r="M27" s="77">
        <f>SUM(M25:M26)</f>
        <v>0</v>
      </c>
      <c r="N27" s="152"/>
      <c r="T27" s="331">
        <f>SUM(T25)</f>
        <v>0</v>
      </c>
    </row>
    <row r="28" spans="1:20">
      <c r="I28" s="198"/>
      <c r="N28" s="152"/>
    </row>
    <row r="30" spans="1:20" ht="12.75" thickBot="1">
      <c r="J30" s="347">
        <f>J9+J22+J27</f>
        <v>72896025.790000007</v>
      </c>
      <c r="M30" s="350">
        <f>M27+M22+M9</f>
        <v>7194975.3899999987</v>
      </c>
      <c r="O30" s="265"/>
      <c r="T30" s="436">
        <f>T9+T22+T27</f>
        <v>7194975.3899999987</v>
      </c>
    </row>
    <row r="31" spans="1:20" ht="12.75" thickTop="1">
      <c r="M31" s="198"/>
    </row>
    <row r="32" spans="1:20">
      <c r="J32" s="193"/>
      <c r="L32" s="193"/>
    </row>
    <row r="33" spans="7:12">
      <c r="L33" s="193"/>
    </row>
    <row r="34" spans="7:12">
      <c r="H34" s="200"/>
      <c r="L34" s="416"/>
    </row>
    <row r="35" spans="7:12">
      <c r="G35" s="360"/>
      <c r="H35" s="200"/>
      <c r="L35" s="373"/>
    </row>
    <row r="36" spans="7:12">
      <c r="G36" s="198"/>
      <c r="L36" s="373"/>
    </row>
    <row r="37" spans="7:12">
      <c r="G37" s="36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57"/>
  <sheetViews>
    <sheetView topLeftCell="C1" zoomScaleNormal="100" workbookViewId="0">
      <selection activeCell="M43" sqref="M43"/>
    </sheetView>
  </sheetViews>
  <sheetFormatPr defaultRowHeight="12"/>
  <cols>
    <col min="1" max="1" width="9.5703125" customWidth="1"/>
    <col min="2" max="2" width="12" customWidth="1"/>
    <col min="3" max="3" width="39.140625" bestFit="1" customWidth="1"/>
    <col min="4" max="4" width="42.5703125" bestFit="1" customWidth="1"/>
    <col min="5" max="5" width="12.140625" bestFit="1" customWidth="1"/>
    <col min="6" max="6" width="16.42578125" bestFit="1" customWidth="1"/>
    <col min="7" max="7" width="17.42578125" bestFit="1" customWidth="1"/>
    <col min="8" max="8" width="15.28515625" bestFit="1" customWidth="1"/>
    <col min="9" max="9" width="11.85546875" bestFit="1" customWidth="1"/>
    <col min="10" max="10" width="17.7109375" bestFit="1" customWidth="1"/>
    <col min="11" max="11" width="11.85546875" bestFit="1" customWidth="1"/>
    <col min="12" max="12" width="17.5703125" bestFit="1" customWidth="1"/>
    <col min="13" max="13" width="18.5703125" bestFit="1" customWidth="1"/>
    <col min="14" max="14" width="11.7109375" bestFit="1" customWidth="1"/>
    <col min="15" max="15" width="16.85546875" customWidth="1"/>
    <col min="16" max="17" width="14.42578125" bestFit="1" customWidth="1"/>
    <col min="18" max="18" width="9.140625" customWidth="1"/>
    <col min="20" max="20" width="26.28515625" bestFit="1" customWidth="1"/>
  </cols>
  <sheetData>
    <row r="1" spans="1:20" ht="12.75">
      <c r="A1" s="159"/>
      <c r="B1" s="159" t="s">
        <v>255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595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919</v>
      </c>
    </row>
    <row r="5" spans="1:20">
      <c r="A5" s="31" t="s">
        <v>151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256</v>
      </c>
      <c r="B6" s="4" t="s">
        <v>77</v>
      </c>
      <c r="C6" s="4" t="s">
        <v>98</v>
      </c>
      <c r="D6" s="4" t="s">
        <v>232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>
      <c r="A7" s="137"/>
      <c r="F7" s="9"/>
      <c r="G7" s="9"/>
      <c r="H7" s="3"/>
      <c r="J7" s="9"/>
      <c r="L7" s="9"/>
      <c r="M7" s="9"/>
    </row>
    <row r="8" spans="1:20">
      <c r="F8" s="194">
        <f>SUM(F5:F7)</f>
        <v>35000000</v>
      </c>
      <c r="G8" s="194">
        <f>SUM(G5:G7)</f>
        <v>35000000</v>
      </c>
      <c r="H8" s="133"/>
      <c r="I8" s="133"/>
      <c r="J8" s="331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73"/>
    </row>
    <row r="11" spans="1:20" ht="12.75" thickBot="1">
      <c r="F11" s="198"/>
    </row>
    <row r="12" spans="1:20" ht="12.75">
      <c r="A12" s="159"/>
      <c r="B12" s="159" t="s">
        <v>279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2.75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2.75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5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>
      <c r="A17" s="43">
        <v>4912</v>
      </c>
      <c r="B17" s="43" t="s">
        <v>77</v>
      </c>
      <c r="C17" s="148" t="s">
        <v>274</v>
      </c>
      <c r="D17" s="148" t="s">
        <v>267</v>
      </c>
      <c r="E17" s="148" t="s">
        <v>268</v>
      </c>
      <c r="F17" s="9">
        <v>50000000</v>
      </c>
      <c r="G17" s="9">
        <v>50000000</v>
      </c>
      <c r="H17" s="3">
        <v>43316</v>
      </c>
      <c r="I17" s="152">
        <v>43351</v>
      </c>
      <c r="J17" s="83">
        <v>3990305.35</v>
      </c>
      <c r="K17" s="152">
        <v>43526</v>
      </c>
      <c r="L17" s="353">
        <f>J17</f>
        <v>3990305.35</v>
      </c>
      <c r="M17" s="83">
        <f>J17-L17</f>
        <v>0</v>
      </c>
      <c r="N17" s="152">
        <v>43935</v>
      </c>
      <c r="O17" s="43" t="s">
        <v>690</v>
      </c>
      <c r="T17" s="144">
        <f t="shared" ref="T17:T19" si="1">M17</f>
        <v>0</v>
      </c>
    </row>
    <row r="18" spans="1:20">
      <c r="A18" s="43">
        <v>4913</v>
      </c>
      <c r="B18" s="43" t="s">
        <v>77</v>
      </c>
      <c r="C18" s="148" t="s">
        <v>273</v>
      </c>
      <c r="D18" s="148" t="s">
        <v>267</v>
      </c>
      <c r="E18" s="148" t="s">
        <v>173</v>
      </c>
      <c r="F18" s="9">
        <v>2000000</v>
      </c>
      <c r="G18" s="9">
        <v>2000000</v>
      </c>
      <c r="H18" s="3">
        <v>43316</v>
      </c>
      <c r="I18" s="152">
        <v>43351</v>
      </c>
      <c r="J18" s="9">
        <v>2000000</v>
      </c>
      <c r="K18" s="152">
        <v>43526</v>
      </c>
      <c r="L18" s="27">
        <f>J18</f>
        <v>2000000</v>
      </c>
      <c r="M18" s="9">
        <f>J18-L18</f>
        <v>0</v>
      </c>
      <c r="N18" s="152">
        <v>43935</v>
      </c>
      <c r="O18" s="43" t="s">
        <v>691</v>
      </c>
      <c r="T18" s="124">
        <f t="shared" si="1"/>
        <v>0</v>
      </c>
    </row>
    <row r="19" spans="1:20">
      <c r="A19" s="43">
        <v>4914</v>
      </c>
      <c r="B19" s="43" t="s">
        <v>77</v>
      </c>
      <c r="C19" s="148" t="s">
        <v>76</v>
      </c>
      <c r="D19" s="148" t="s">
        <v>269</v>
      </c>
      <c r="E19" s="148" t="s">
        <v>154</v>
      </c>
      <c r="F19" s="9">
        <v>179298351</v>
      </c>
      <c r="G19" s="9">
        <v>179298351</v>
      </c>
      <c r="H19" s="3">
        <v>43319</v>
      </c>
      <c r="I19" s="152">
        <v>43354</v>
      </c>
      <c r="J19" s="83">
        <v>8233731.25</v>
      </c>
      <c r="K19" s="152">
        <v>43529</v>
      </c>
      <c r="L19" s="45">
        <f>J19</f>
        <v>8233731.25</v>
      </c>
      <c r="M19" s="83">
        <f>J19-L19</f>
        <v>0</v>
      </c>
      <c r="N19" s="152">
        <v>43935</v>
      </c>
      <c r="O19" s="43" t="s">
        <v>692</v>
      </c>
      <c r="T19" s="124">
        <f t="shared" si="1"/>
        <v>0</v>
      </c>
    </row>
    <row r="20" spans="1:20" s="186" customFormat="1">
      <c r="A20" s="48"/>
      <c r="B20" s="48"/>
      <c r="C20" s="283"/>
      <c r="D20" s="283"/>
      <c r="E20" s="283"/>
      <c r="F20" s="124"/>
      <c r="G20" s="124"/>
      <c r="H20" s="7"/>
      <c r="I20" s="184"/>
      <c r="J20" s="124"/>
      <c r="K20" s="184"/>
      <c r="L20" s="32"/>
      <c r="M20" s="124"/>
      <c r="N20" s="152"/>
    </row>
    <row r="21" spans="1:20">
      <c r="A21" s="13"/>
      <c r="B21" s="13"/>
      <c r="C21" s="13"/>
      <c r="D21" s="13"/>
      <c r="E21" s="13"/>
      <c r="F21" s="289"/>
      <c r="G21" s="185"/>
      <c r="H21" s="185"/>
      <c r="I21" s="185"/>
      <c r="J21" s="185"/>
      <c r="K21" s="185"/>
      <c r="M21" s="204"/>
      <c r="N21" s="152"/>
    </row>
    <row r="22" spans="1:20">
      <c r="F22" s="185"/>
      <c r="G22" s="185"/>
      <c r="H22" s="185"/>
      <c r="I22" s="185"/>
      <c r="J22" s="194">
        <f>SUM(J17:J21)</f>
        <v>14224036.6</v>
      </c>
      <c r="K22" s="332"/>
      <c r="L22" s="194">
        <f>SUM(L17:L21)</f>
        <v>14224036.6</v>
      </c>
      <c r="M22" s="194">
        <f>SUM(M17:M21)</f>
        <v>0</v>
      </c>
      <c r="N22" s="152"/>
      <c r="T22" s="194">
        <f>SUM(T17:T19)</f>
        <v>0</v>
      </c>
    </row>
    <row r="23" spans="1:20">
      <c r="F23" s="185"/>
      <c r="G23" s="185"/>
      <c r="H23" s="291"/>
      <c r="I23" s="185"/>
      <c r="J23" s="185"/>
      <c r="K23" s="185"/>
      <c r="N23" s="152"/>
    </row>
    <row r="24" spans="1:20" ht="12.75" thickBot="1">
      <c r="F24" s="185"/>
      <c r="G24" s="185"/>
      <c r="H24" s="291"/>
      <c r="I24" s="185"/>
      <c r="J24" s="185"/>
      <c r="K24" s="185"/>
      <c r="N24" s="152"/>
    </row>
    <row r="25" spans="1:20">
      <c r="A25" s="169" t="s">
        <v>94</v>
      </c>
      <c r="F25" s="185"/>
      <c r="G25" s="188"/>
      <c r="H25" s="152"/>
      <c r="I25" s="185"/>
      <c r="J25" s="185"/>
      <c r="K25" s="291"/>
      <c r="N25" s="152"/>
    </row>
    <row r="26" spans="1:20">
      <c r="A26" s="43">
        <v>4895</v>
      </c>
      <c r="B26" s="43" t="s">
        <v>77</v>
      </c>
      <c r="C26" s="148" t="s">
        <v>164</v>
      </c>
      <c r="D26" s="148" t="s">
        <v>344</v>
      </c>
      <c r="E26" s="148" t="s">
        <v>80</v>
      </c>
      <c r="F26" s="9">
        <v>35000000</v>
      </c>
      <c r="G26" s="9">
        <v>35000000</v>
      </c>
      <c r="H26" s="3">
        <v>43300</v>
      </c>
      <c r="I26" s="152">
        <v>43335</v>
      </c>
      <c r="J26" s="9">
        <v>35000000</v>
      </c>
      <c r="K26" s="152">
        <v>44560</v>
      </c>
      <c r="L26" s="348">
        <v>35000000</v>
      </c>
      <c r="M26" s="316">
        <f>J26-L26</f>
        <v>0</v>
      </c>
      <c r="N26" s="356">
        <v>44142</v>
      </c>
      <c r="O26" s="210" t="s">
        <v>908</v>
      </c>
      <c r="T26" s="124">
        <f>M26+35000000</f>
        <v>35000000</v>
      </c>
    </row>
    <row r="27" spans="1:20">
      <c r="A27" s="43">
        <v>4903</v>
      </c>
      <c r="B27" s="43" t="s">
        <v>77</v>
      </c>
      <c r="C27" s="148" t="s">
        <v>164</v>
      </c>
      <c r="D27" s="148" t="s">
        <v>344</v>
      </c>
      <c r="E27" s="148" t="s">
        <v>243</v>
      </c>
      <c r="F27" s="9">
        <v>35000000</v>
      </c>
      <c r="G27" s="9">
        <v>35000000</v>
      </c>
      <c r="H27" s="3">
        <v>43313</v>
      </c>
      <c r="I27" s="152">
        <v>43348</v>
      </c>
      <c r="J27" s="9">
        <v>6500000</v>
      </c>
      <c r="K27" s="152">
        <v>44560</v>
      </c>
      <c r="L27" s="289">
        <v>0</v>
      </c>
      <c r="M27" s="9">
        <f t="shared" ref="M27:M28" si="2">J27-L27</f>
        <v>6500000</v>
      </c>
      <c r="N27" s="152">
        <v>44027</v>
      </c>
      <c r="O27" s="210"/>
      <c r="T27" s="124">
        <f>M27</f>
        <v>6500000</v>
      </c>
    </row>
    <row r="28" spans="1:20">
      <c r="A28" s="43">
        <v>4906</v>
      </c>
      <c r="B28" s="43" t="s">
        <v>77</v>
      </c>
      <c r="C28" s="148" t="s">
        <v>157</v>
      </c>
      <c r="D28" s="148" t="s">
        <v>344</v>
      </c>
      <c r="E28" s="148" t="s">
        <v>79</v>
      </c>
      <c r="F28" s="9">
        <v>50000000</v>
      </c>
      <c r="G28" s="9">
        <v>50000000</v>
      </c>
      <c r="H28" s="3">
        <v>43316</v>
      </c>
      <c r="I28" s="152">
        <v>43351</v>
      </c>
      <c r="J28" s="9">
        <v>34000000</v>
      </c>
      <c r="K28" s="152">
        <v>44560</v>
      </c>
      <c r="L28" s="289">
        <v>34000000</v>
      </c>
      <c r="M28" s="9">
        <f t="shared" si="2"/>
        <v>0</v>
      </c>
      <c r="N28" s="152">
        <v>44044</v>
      </c>
      <c r="O28" s="43" t="s">
        <v>666</v>
      </c>
      <c r="P28" s="210"/>
      <c r="T28" s="124">
        <f t="shared" ref="T28" si="3">M28</f>
        <v>0</v>
      </c>
    </row>
    <row r="29" spans="1:20">
      <c r="A29" s="43">
        <v>4917</v>
      </c>
      <c r="B29" s="43" t="s">
        <v>77</v>
      </c>
      <c r="C29" s="148" t="s">
        <v>222</v>
      </c>
      <c r="D29" s="148" t="s">
        <v>344</v>
      </c>
      <c r="E29" s="148" t="s">
        <v>223</v>
      </c>
      <c r="F29" s="9">
        <v>15000000</v>
      </c>
      <c r="G29" s="9">
        <v>15000000</v>
      </c>
      <c r="H29" s="3">
        <v>43333</v>
      </c>
      <c r="I29" s="152">
        <v>43368</v>
      </c>
      <c r="J29" s="9">
        <v>15000000</v>
      </c>
      <c r="K29" s="152">
        <v>44560</v>
      </c>
      <c r="L29" s="289">
        <v>15000000</v>
      </c>
      <c r="M29" s="9">
        <f>J29-L29</f>
        <v>0</v>
      </c>
      <c r="N29" s="152">
        <v>43922</v>
      </c>
      <c r="O29" s="43" t="s">
        <v>370</v>
      </c>
      <c r="T29" s="124">
        <f>M29</f>
        <v>0</v>
      </c>
    </row>
    <row r="30" spans="1:20">
      <c r="A30" s="43">
        <v>4924</v>
      </c>
      <c r="B30" s="43" t="s">
        <v>77</v>
      </c>
      <c r="C30" s="148" t="s">
        <v>167</v>
      </c>
      <c r="D30" s="148" t="s">
        <v>344</v>
      </c>
      <c r="E30" s="148" t="s">
        <v>168</v>
      </c>
      <c r="F30" s="9">
        <v>30000000</v>
      </c>
      <c r="G30" s="9">
        <v>30000000</v>
      </c>
      <c r="H30" s="3">
        <v>43336</v>
      </c>
      <c r="I30" s="152">
        <v>43371</v>
      </c>
      <c r="J30" s="83">
        <v>20000318.550000001</v>
      </c>
      <c r="K30" s="152">
        <v>44560</v>
      </c>
      <c r="L30" s="45">
        <v>0</v>
      </c>
      <c r="M30" s="83">
        <f t="shared" ref="M30" si="4">J30-L30</f>
        <v>20000318.550000001</v>
      </c>
      <c r="N30" s="152">
        <v>43543</v>
      </c>
      <c r="O30" s="43"/>
      <c r="T30" s="144">
        <f>M30</f>
        <v>20000318.550000001</v>
      </c>
    </row>
    <row r="31" spans="1:20">
      <c r="A31" s="43">
        <v>4926</v>
      </c>
      <c r="B31" s="43" t="s">
        <v>77</v>
      </c>
      <c r="C31" s="148" t="s">
        <v>225</v>
      </c>
      <c r="D31" s="148" t="s">
        <v>344</v>
      </c>
      <c r="E31" s="148" t="s">
        <v>226</v>
      </c>
      <c r="F31" s="9">
        <v>35000000</v>
      </c>
      <c r="G31" s="9">
        <v>35000000</v>
      </c>
      <c r="H31" s="3">
        <v>43342</v>
      </c>
      <c r="I31" s="152">
        <v>43377</v>
      </c>
      <c r="J31" s="9">
        <v>35000000</v>
      </c>
      <c r="K31" s="152">
        <v>44560</v>
      </c>
      <c r="L31" s="27">
        <f>22800000+12200000</f>
        <v>35000000</v>
      </c>
      <c r="M31" s="9">
        <f>J31-L31</f>
        <v>0</v>
      </c>
      <c r="N31" s="152">
        <v>44146</v>
      </c>
      <c r="O31" s="43" t="s">
        <v>829</v>
      </c>
      <c r="P31" s="35" t="s">
        <v>828</v>
      </c>
      <c r="T31" s="124">
        <f>M31</f>
        <v>0</v>
      </c>
    </row>
    <row r="32" spans="1:20">
      <c r="A32" s="43">
        <v>4927</v>
      </c>
      <c r="B32" s="43" t="s">
        <v>77</v>
      </c>
      <c r="C32" s="148" t="s">
        <v>295</v>
      </c>
      <c r="D32" s="148" t="s">
        <v>344</v>
      </c>
      <c r="E32" s="148" t="s">
        <v>229</v>
      </c>
      <c r="F32" s="9">
        <v>30000000</v>
      </c>
      <c r="G32" s="9">
        <v>30000000</v>
      </c>
      <c r="H32" s="3">
        <v>43342</v>
      </c>
      <c r="I32" s="152">
        <v>43377</v>
      </c>
      <c r="J32" s="9">
        <v>4000000</v>
      </c>
      <c r="K32" s="152">
        <v>43522</v>
      </c>
      <c r="L32" s="289">
        <v>4000000</v>
      </c>
      <c r="M32" s="9">
        <f>J32-L32</f>
        <v>0</v>
      </c>
      <c r="N32" s="152">
        <v>44034</v>
      </c>
      <c r="O32" s="43" t="s">
        <v>647</v>
      </c>
      <c r="T32" s="124">
        <f>M32</f>
        <v>0</v>
      </c>
    </row>
    <row r="33" spans="1:20">
      <c r="A33" s="43">
        <v>4933</v>
      </c>
      <c r="B33" s="43" t="s">
        <v>77</v>
      </c>
      <c r="C33" s="148" t="s">
        <v>98</v>
      </c>
      <c r="D33" s="148" t="s">
        <v>344</v>
      </c>
      <c r="E33" s="148" t="s">
        <v>166</v>
      </c>
      <c r="F33" s="9">
        <v>50000000</v>
      </c>
      <c r="G33" s="9">
        <v>50000000</v>
      </c>
      <c r="H33" s="3">
        <v>43358</v>
      </c>
      <c r="I33" s="152">
        <v>43393</v>
      </c>
      <c r="J33" s="9">
        <v>38800000</v>
      </c>
      <c r="K33" s="152">
        <v>44560</v>
      </c>
      <c r="L33" s="289">
        <v>38800000</v>
      </c>
      <c r="M33" s="9">
        <f>J33-L33</f>
        <v>0</v>
      </c>
      <c r="N33" s="152">
        <v>43861</v>
      </c>
      <c r="O33" s="43" t="s">
        <v>378</v>
      </c>
      <c r="P33" s="43"/>
      <c r="T33" s="124">
        <f>M33</f>
        <v>0</v>
      </c>
    </row>
    <row r="34" spans="1:20" s="186" customFormat="1">
      <c r="A34" s="13"/>
      <c r="B34" s="13"/>
      <c r="C34" s="13"/>
      <c r="D34" s="13"/>
      <c r="E34" s="13"/>
      <c r="F34" s="289"/>
      <c r="G34" s="124"/>
      <c r="H34" s="7"/>
      <c r="I34" s="184"/>
      <c r="J34" s="124"/>
      <c r="K34" s="184"/>
      <c r="L34" s="32"/>
      <c r="M34" s="124"/>
      <c r="N34" s="184"/>
    </row>
    <row r="35" spans="1:20">
      <c r="A35" s="13"/>
      <c r="B35" s="13"/>
      <c r="C35" s="13"/>
      <c r="D35" s="13"/>
      <c r="E35" s="13"/>
      <c r="F35" s="289"/>
      <c r="G35" s="71"/>
      <c r="H35" s="3"/>
      <c r="I35" s="3"/>
      <c r="J35" s="77">
        <f>SUM(J26:J34)</f>
        <v>188300318.55000001</v>
      </c>
      <c r="K35" s="7"/>
      <c r="L35" s="77">
        <f>SUM(L26:L34)</f>
        <v>161800000</v>
      </c>
      <c r="M35" s="77">
        <f>SUM(M26:M34)</f>
        <v>26500318.550000001</v>
      </c>
      <c r="N35" s="152"/>
      <c r="T35" s="77">
        <f>SUM(T26:T34)</f>
        <v>61500318.549999997</v>
      </c>
    </row>
    <row r="36" spans="1:20" ht="12.75" thickBot="1">
      <c r="F36" s="185"/>
      <c r="G36" s="185"/>
      <c r="H36" s="185"/>
      <c r="I36" s="185"/>
      <c r="J36" s="185"/>
      <c r="K36" s="291"/>
      <c r="M36" s="193"/>
      <c r="N36" s="152"/>
    </row>
    <row r="37" spans="1:20">
      <c r="A37" s="169" t="s">
        <v>60</v>
      </c>
      <c r="F37" s="185"/>
      <c r="G37" s="188"/>
      <c r="H37" s="152"/>
      <c r="I37" s="185"/>
      <c r="J37" s="185"/>
      <c r="K37" s="185"/>
      <c r="N37" s="152"/>
    </row>
    <row r="38" spans="1:20">
      <c r="A38" s="43">
        <v>4940</v>
      </c>
      <c r="B38" s="43" t="s">
        <v>77</v>
      </c>
      <c r="C38" s="148" t="s">
        <v>315</v>
      </c>
      <c r="D38" s="43" t="s">
        <v>382</v>
      </c>
      <c r="E38" s="43" t="s">
        <v>245</v>
      </c>
      <c r="F38" s="408">
        <v>94065843.159999996</v>
      </c>
      <c r="G38" s="82">
        <v>94065843.159999996</v>
      </c>
      <c r="H38" s="294">
        <v>43417</v>
      </c>
      <c r="I38" s="152">
        <v>43452</v>
      </c>
      <c r="J38" s="409">
        <v>78065843.159999996</v>
      </c>
      <c r="K38" s="294">
        <v>43567</v>
      </c>
      <c r="L38" s="149">
        <f>36500000+20000000+8000000+13500000</f>
        <v>78000000</v>
      </c>
      <c r="M38" s="251">
        <f>J38-L38</f>
        <v>65843.159999996424</v>
      </c>
      <c r="N38" s="152">
        <v>44166</v>
      </c>
      <c r="O38" s="43" t="s">
        <v>754</v>
      </c>
      <c r="P38" s="43" t="s">
        <v>791</v>
      </c>
      <c r="Q38" s="43" t="s">
        <v>901</v>
      </c>
      <c r="R38" s="43" t="s">
        <v>913</v>
      </c>
      <c r="T38" s="124">
        <f>M38</f>
        <v>65843.159999996424</v>
      </c>
    </row>
    <row r="39" spans="1:20">
      <c r="N39" s="152"/>
    </row>
    <row r="40" spans="1:20">
      <c r="I40" s="198"/>
      <c r="J40" s="349">
        <f>SUM(J38:J39)</f>
        <v>78065843.159999996</v>
      </c>
      <c r="K40" s="186"/>
      <c r="L40" s="77">
        <f>SUM(L38:L39)</f>
        <v>78000000</v>
      </c>
      <c r="M40" s="77">
        <f>SUM(M38:M39)</f>
        <v>65843.159999996424</v>
      </c>
      <c r="N40" s="152"/>
      <c r="T40" s="77">
        <f>SUM(T38:T39)</f>
        <v>65843.159999996424</v>
      </c>
    </row>
    <row r="41" spans="1:20">
      <c r="I41" s="198"/>
      <c r="N41" s="152"/>
    </row>
    <row r="42" spans="1:20">
      <c r="G42" s="269"/>
    </row>
    <row r="43" spans="1:20" ht="12.75" thickBot="1">
      <c r="G43" s="269"/>
      <c r="J43" s="347">
        <f>J8+J22+J35+J40</f>
        <v>315590198.31</v>
      </c>
      <c r="M43" s="350">
        <f>M40+M35+M22+M8</f>
        <v>61566161.709999993</v>
      </c>
      <c r="O43" s="265"/>
      <c r="P43" s="265"/>
      <c r="Q43" s="265"/>
      <c r="R43" s="265"/>
      <c r="T43" s="436">
        <f>T8+T22+T35+T40</f>
        <v>96566161.709999993</v>
      </c>
    </row>
    <row r="44" spans="1:20" ht="12.75" thickTop="1">
      <c r="L44" s="193"/>
      <c r="M44" s="198"/>
    </row>
    <row r="45" spans="1:20">
      <c r="K45" s="200"/>
      <c r="L45" s="193"/>
    </row>
    <row r="46" spans="1:20">
      <c r="G46" s="200"/>
      <c r="K46" s="200"/>
      <c r="M46" s="193"/>
    </row>
    <row r="47" spans="1:20">
      <c r="G47" s="200"/>
    </row>
    <row r="48" spans="1:20">
      <c r="G48" s="200"/>
    </row>
    <row r="49" spans="7:17">
      <c r="G49" s="200"/>
    </row>
    <row r="55" spans="7:17">
      <c r="P55" s="200"/>
      <c r="Q55" s="200"/>
    </row>
    <row r="56" spans="7:17">
      <c r="P56" s="200"/>
      <c r="Q56" s="200"/>
    </row>
    <row r="57" spans="7:17">
      <c r="Q57" s="200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V88"/>
  <sheetViews>
    <sheetView topLeftCell="A37" zoomScaleNormal="100" workbookViewId="0">
      <selection activeCell="M79" sqref="M79"/>
    </sheetView>
  </sheetViews>
  <sheetFormatPr defaultRowHeight="12"/>
  <cols>
    <col min="1" max="1" width="8.5703125" customWidth="1"/>
    <col min="2" max="2" width="9.28515625" customWidth="1"/>
    <col min="3" max="3" width="37.140625" customWidth="1"/>
    <col min="4" max="4" width="32.5703125" customWidth="1"/>
    <col min="5" max="5" width="12.140625" bestFit="1" customWidth="1"/>
    <col min="6" max="7" width="15.7109375" bestFit="1" customWidth="1"/>
    <col min="8" max="8" width="16.42578125" customWidth="1"/>
    <col min="9" max="9" width="10.42578125" customWidth="1"/>
    <col min="10" max="10" width="17.140625" customWidth="1"/>
    <col min="11" max="11" width="10.42578125" customWidth="1"/>
    <col min="12" max="12" width="15.85546875" customWidth="1"/>
    <col min="13" max="13" width="18.5703125" bestFit="1" customWidth="1"/>
    <col min="14" max="14" width="11" bestFit="1" customWidth="1"/>
    <col min="15" max="15" width="16" customWidth="1"/>
    <col min="16" max="16" width="16.28515625" customWidth="1"/>
    <col min="17" max="17" width="13.7109375" customWidth="1"/>
    <col min="18" max="18" width="9.140625" customWidth="1"/>
    <col min="20" max="20" width="26.7109375" bestFit="1" customWidth="1"/>
  </cols>
  <sheetData>
    <row r="1" spans="1:20" ht="12.75">
      <c r="A1" s="159"/>
      <c r="B1" s="159" t="s">
        <v>284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7"/>
      <c r="O1" s="377"/>
      <c r="P1" s="377"/>
      <c r="Q1" s="272"/>
      <c r="T1" s="343" t="s">
        <v>89</v>
      </c>
    </row>
    <row r="2" spans="1:20" ht="12.75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8" t="s">
        <v>22</v>
      </c>
      <c r="O2" s="380" t="s">
        <v>179</v>
      </c>
      <c r="P2" s="380" t="s">
        <v>275</v>
      </c>
      <c r="Q2" s="381" t="s">
        <v>277</v>
      </c>
      <c r="T2" s="344" t="s">
        <v>90</v>
      </c>
    </row>
    <row r="3" spans="1:20" ht="12.75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8" t="s">
        <v>5</v>
      </c>
      <c r="O3" s="380" t="s">
        <v>178</v>
      </c>
      <c r="P3" s="380" t="s">
        <v>276</v>
      </c>
      <c r="Q3" s="381" t="s">
        <v>278</v>
      </c>
      <c r="T3" s="344" t="s">
        <v>595</v>
      </c>
    </row>
    <row r="4" spans="1:20" ht="13.5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9" t="s">
        <v>9</v>
      </c>
      <c r="O4" s="379"/>
      <c r="P4" s="379"/>
      <c r="Q4" s="382" t="s">
        <v>9</v>
      </c>
      <c r="T4" s="345" t="s">
        <v>919</v>
      </c>
    </row>
    <row r="5" spans="1:20">
      <c r="A5" s="31" t="s">
        <v>282</v>
      </c>
    </row>
    <row r="6" spans="1:20" s="186" customFormat="1">
      <c r="A6" s="5" t="s">
        <v>602</v>
      </c>
      <c r="B6" s="5" t="s">
        <v>77</v>
      </c>
      <c r="C6" s="5" t="s">
        <v>76</v>
      </c>
      <c r="D6" s="5" t="s">
        <v>426</v>
      </c>
      <c r="E6" s="5" t="s">
        <v>78</v>
      </c>
      <c r="F6" s="352">
        <v>50000000</v>
      </c>
      <c r="G6" s="352">
        <f>F6</f>
        <v>50000000</v>
      </c>
      <c r="H6" s="7">
        <v>43831</v>
      </c>
      <c r="I6" s="7">
        <v>43838</v>
      </c>
      <c r="J6" s="352">
        <v>50000000</v>
      </c>
      <c r="K6" s="7">
        <v>44925</v>
      </c>
      <c r="L6" s="352"/>
      <c r="M6" s="352">
        <f t="shared" ref="M6:M17" si="0">J6-L6</f>
        <v>50000000</v>
      </c>
      <c r="N6" s="7"/>
      <c r="O6" s="5">
        <v>3</v>
      </c>
      <c r="P6" s="5">
        <v>300</v>
      </c>
      <c r="Q6" s="6">
        <v>43818</v>
      </c>
      <c r="R6" s="452"/>
      <c r="T6" s="62">
        <f>M6</f>
        <v>50000000</v>
      </c>
    </row>
    <row r="7" spans="1:20" s="186" customFormat="1">
      <c r="A7" s="5" t="s">
        <v>603</v>
      </c>
      <c r="B7" s="5" t="s">
        <v>77</v>
      </c>
      <c r="C7" s="5" t="s">
        <v>76</v>
      </c>
      <c r="D7" s="5" t="s">
        <v>338</v>
      </c>
      <c r="E7" s="5" t="s">
        <v>79</v>
      </c>
      <c r="F7" s="352">
        <v>29000000</v>
      </c>
      <c r="G7" s="352">
        <f>F7</f>
        <v>29000000</v>
      </c>
      <c r="H7" s="7">
        <v>43831</v>
      </c>
      <c r="I7" s="7">
        <v>43838</v>
      </c>
      <c r="J7" s="352">
        <v>29000000</v>
      </c>
      <c r="K7" s="7">
        <v>44925</v>
      </c>
      <c r="L7" s="352"/>
      <c r="M7" s="352">
        <f t="shared" si="0"/>
        <v>29000000</v>
      </c>
      <c r="N7" s="7"/>
      <c r="O7" s="5">
        <v>3</v>
      </c>
      <c r="P7" s="5">
        <v>164</v>
      </c>
      <c r="Q7" s="6">
        <v>43818</v>
      </c>
      <c r="R7" s="452"/>
      <c r="T7" s="62">
        <f t="shared" ref="T7:T18" si="1">M7</f>
        <v>29000000</v>
      </c>
    </row>
    <row r="8" spans="1:20">
      <c r="A8" s="137"/>
      <c r="B8" s="1"/>
      <c r="C8" s="1"/>
      <c r="D8" s="1"/>
      <c r="E8" s="1"/>
      <c r="F8" s="9"/>
      <c r="G8" s="9"/>
      <c r="H8" s="3"/>
      <c r="I8" s="3"/>
      <c r="J8" s="9"/>
      <c r="K8" s="200"/>
      <c r="M8" s="352"/>
      <c r="O8" s="13"/>
      <c r="P8" s="13"/>
      <c r="Q8" s="13"/>
      <c r="T8" s="62"/>
    </row>
    <row r="9" spans="1:20">
      <c r="A9" s="31"/>
      <c r="H9" s="3"/>
      <c r="I9" s="3"/>
      <c r="K9" s="200"/>
      <c r="M9" s="352"/>
      <c r="P9" s="13"/>
      <c r="Q9" s="13"/>
      <c r="T9" s="62"/>
    </row>
    <row r="10" spans="1:20" ht="12.75" customHeight="1">
      <c r="A10" s="31" t="s">
        <v>151</v>
      </c>
      <c r="H10" s="3"/>
      <c r="I10" s="3"/>
      <c r="K10" s="200"/>
      <c r="M10" s="352"/>
      <c r="P10" s="13"/>
      <c r="Q10" s="13"/>
      <c r="T10" s="62"/>
    </row>
    <row r="11" spans="1:20" s="186" customFormat="1">
      <c r="A11" s="5" t="s">
        <v>332</v>
      </c>
      <c r="B11" s="5" t="s">
        <v>77</v>
      </c>
      <c r="C11" s="5" t="s">
        <v>98</v>
      </c>
      <c r="D11" s="5" t="s">
        <v>172</v>
      </c>
      <c r="E11" s="5" t="s">
        <v>166</v>
      </c>
      <c r="F11" s="352">
        <v>50000000</v>
      </c>
      <c r="G11" s="352">
        <f t="shared" ref="G11" si="2">F11</f>
        <v>50000000</v>
      </c>
      <c r="H11" s="7">
        <v>43831</v>
      </c>
      <c r="I11" s="7">
        <v>43838</v>
      </c>
      <c r="J11" s="352">
        <v>50000000</v>
      </c>
      <c r="K11" s="7">
        <v>44925</v>
      </c>
      <c r="L11" s="352"/>
      <c r="M11" s="352">
        <f t="shared" si="0"/>
        <v>50000000</v>
      </c>
      <c r="N11" s="7"/>
      <c r="O11" s="5">
        <v>3</v>
      </c>
      <c r="P11" s="5">
        <v>390</v>
      </c>
      <c r="Q11" s="6">
        <v>43466</v>
      </c>
      <c r="R11" s="452"/>
      <c r="T11" s="62">
        <f t="shared" si="1"/>
        <v>50000000</v>
      </c>
    </row>
    <row r="12" spans="1:20">
      <c r="A12" s="13" t="s">
        <v>333</v>
      </c>
      <c r="B12" s="13" t="s">
        <v>632</v>
      </c>
      <c r="C12" s="13" t="s">
        <v>98</v>
      </c>
      <c r="D12" s="13" t="s">
        <v>339</v>
      </c>
      <c r="E12" s="13" t="s">
        <v>79</v>
      </c>
      <c r="F12" s="289">
        <v>40000000</v>
      </c>
      <c r="G12" s="289">
        <f t="shared" ref="G12:G15" si="3">F12</f>
        <v>40000000</v>
      </c>
      <c r="H12" s="3">
        <v>43831</v>
      </c>
      <c r="I12" s="3">
        <v>43838</v>
      </c>
      <c r="J12" s="289">
        <v>40000000</v>
      </c>
      <c r="K12" s="3">
        <v>44925</v>
      </c>
      <c r="L12" s="289">
        <v>40000000</v>
      </c>
      <c r="M12" s="289">
        <f t="shared" si="0"/>
        <v>0</v>
      </c>
      <c r="N12" s="3"/>
      <c r="O12" s="13">
        <v>3</v>
      </c>
      <c r="P12" s="13">
        <v>263</v>
      </c>
      <c r="Q12" s="11">
        <v>44174</v>
      </c>
      <c r="R12" s="540"/>
      <c r="T12" s="463">
        <f t="shared" si="1"/>
        <v>0</v>
      </c>
    </row>
    <row r="13" spans="1:20" s="186" customFormat="1">
      <c r="A13" s="5" t="s">
        <v>334</v>
      </c>
      <c r="B13" s="5" t="s">
        <v>77</v>
      </c>
      <c r="C13" s="5" t="s">
        <v>314</v>
      </c>
      <c r="D13" s="5" t="s">
        <v>340</v>
      </c>
      <c r="E13" s="5" t="s">
        <v>79</v>
      </c>
      <c r="F13" s="352">
        <v>61260326</v>
      </c>
      <c r="G13" s="352">
        <f t="shared" si="3"/>
        <v>61260326</v>
      </c>
      <c r="H13" s="7">
        <v>43831</v>
      </c>
      <c r="I13" s="7">
        <v>43838</v>
      </c>
      <c r="J13" s="352">
        <f>G13</f>
        <v>61260326</v>
      </c>
      <c r="K13" s="7">
        <v>44925</v>
      </c>
      <c r="L13" s="352"/>
      <c r="M13" s="352">
        <f t="shared" si="0"/>
        <v>61260326</v>
      </c>
      <c r="N13" s="7"/>
      <c r="O13" s="5">
        <v>2</v>
      </c>
      <c r="P13" s="5">
        <v>368</v>
      </c>
      <c r="Q13" s="6">
        <v>43466</v>
      </c>
      <c r="R13" s="452"/>
      <c r="T13" s="62">
        <f t="shared" si="1"/>
        <v>61260326</v>
      </c>
    </row>
    <row r="14" spans="1:20">
      <c r="A14" s="13" t="s">
        <v>335</v>
      </c>
      <c r="B14" s="13" t="s">
        <v>632</v>
      </c>
      <c r="C14" s="13" t="s">
        <v>143</v>
      </c>
      <c r="D14" s="13" t="s">
        <v>341</v>
      </c>
      <c r="E14" s="13" t="s">
        <v>79</v>
      </c>
      <c r="F14" s="289">
        <v>50000000</v>
      </c>
      <c r="G14" s="289">
        <f t="shared" si="3"/>
        <v>50000000</v>
      </c>
      <c r="H14" s="3">
        <v>43831</v>
      </c>
      <c r="I14" s="3">
        <v>43838</v>
      </c>
      <c r="J14" s="289">
        <v>50000000</v>
      </c>
      <c r="K14" s="3">
        <v>44925</v>
      </c>
      <c r="L14" s="289">
        <v>50000000</v>
      </c>
      <c r="M14" s="289">
        <f t="shared" si="0"/>
        <v>0</v>
      </c>
      <c r="N14" s="3">
        <v>44142</v>
      </c>
      <c r="O14" s="13">
        <v>2</v>
      </c>
      <c r="P14" s="13">
        <v>298</v>
      </c>
      <c r="Q14" s="11">
        <v>43466</v>
      </c>
      <c r="R14" s="540"/>
      <c r="T14" s="463">
        <f t="shared" si="1"/>
        <v>0</v>
      </c>
    </row>
    <row r="15" spans="1:20" s="186" customFormat="1">
      <c r="A15" s="5" t="s">
        <v>336</v>
      </c>
      <c r="B15" s="5" t="s">
        <v>77</v>
      </c>
      <c r="C15" s="5" t="s">
        <v>97</v>
      </c>
      <c r="D15" s="5" t="s">
        <v>342</v>
      </c>
      <c r="E15" s="5" t="s">
        <v>95</v>
      </c>
      <c r="F15" s="352">
        <v>30000000</v>
      </c>
      <c r="G15" s="352">
        <f t="shared" si="3"/>
        <v>30000000</v>
      </c>
      <c r="H15" s="7">
        <v>43831</v>
      </c>
      <c r="I15" s="7">
        <v>43838</v>
      </c>
      <c r="J15" s="352">
        <v>30000000</v>
      </c>
      <c r="K15" s="7">
        <v>44925</v>
      </c>
      <c r="L15" s="352"/>
      <c r="M15" s="352">
        <f t="shared" si="0"/>
        <v>30000000</v>
      </c>
      <c r="N15" s="7"/>
      <c r="O15" s="5">
        <v>2</v>
      </c>
      <c r="P15" s="5">
        <v>184</v>
      </c>
      <c r="Q15" s="6">
        <v>43466</v>
      </c>
      <c r="R15" s="452"/>
      <c r="T15" s="62">
        <f t="shared" si="1"/>
        <v>30000000</v>
      </c>
    </row>
    <row r="16" spans="1:20">
      <c r="A16" s="13" t="s">
        <v>386</v>
      </c>
      <c r="B16" s="13" t="s">
        <v>632</v>
      </c>
      <c r="C16" s="13" t="s">
        <v>316</v>
      </c>
      <c r="D16" s="13" t="s">
        <v>387</v>
      </c>
      <c r="E16" s="13" t="s">
        <v>79</v>
      </c>
      <c r="F16" s="289">
        <v>50000000</v>
      </c>
      <c r="G16" s="289">
        <f>F16</f>
        <v>50000000</v>
      </c>
      <c r="H16" s="3">
        <v>43834</v>
      </c>
      <c r="I16" s="3">
        <v>43841</v>
      </c>
      <c r="J16" s="289">
        <v>50000000</v>
      </c>
      <c r="K16" s="3">
        <v>44925</v>
      </c>
      <c r="L16" s="289">
        <v>50000000</v>
      </c>
      <c r="M16" s="289">
        <f t="shared" si="0"/>
        <v>0</v>
      </c>
      <c r="N16" s="3">
        <v>44103</v>
      </c>
      <c r="O16" s="13">
        <v>3</v>
      </c>
      <c r="P16" s="13">
        <v>328</v>
      </c>
      <c r="Q16" s="11">
        <v>43812</v>
      </c>
      <c r="R16" s="540"/>
      <c r="T16" s="463">
        <f t="shared" si="1"/>
        <v>0</v>
      </c>
    </row>
    <row r="17" spans="1:20">
      <c r="A17" s="13" t="s">
        <v>388</v>
      </c>
      <c r="B17" s="13" t="s">
        <v>632</v>
      </c>
      <c r="C17" s="13" t="s">
        <v>251</v>
      </c>
      <c r="D17" s="13" t="s">
        <v>322</v>
      </c>
      <c r="E17" s="13" t="s">
        <v>389</v>
      </c>
      <c r="F17" s="289">
        <v>38000000</v>
      </c>
      <c r="G17" s="289">
        <f>F17</f>
        <v>38000000</v>
      </c>
      <c r="H17" s="3">
        <v>43834</v>
      </c>
      <c r="I17" s="3">
        <v>43841</v>
      </c>
      <c r="J17" s="289">
        <v>38000000</v>
      </c>
      <c r="K17" s="3">
        <v>44925</v>
      </c>
      <c r="L17" s="289">
        <v>37460000</v>
      </c>
      <c r="M17" s="289">
        <f t="shared" si="0"/>
        <v>540000</v>
      </c>
      <c r="N17" s="3">
        <v>44065</v>
      </c>
      <c r="O17" s="13">
        <v>3</v>
      </c>
      <c r="P17" s="13">
        <v>240</v>
      </c>
      <c r="Q17" s="11">
        <v>43813</v>
      </c>
      <c r="R17" s="540"/>
      <c r="T17" s="448">
        <f t="shared" si="1"/>
        <v>540000</v>
      </c>
    </row>
    <row r="18" spans="1:20" s="186" customFormat="1">
      <c r="A18" s="5" t="s">
        <v>604</v>
      </c>
      <c r="B18" s="5" t="s">
        <v>77</v>
      </c>
      <c r="C18" s="5" t="s">
        <v>144</v>
      </c>
      <c r="D18" s="5" t="s">
        <v>605</v>
      </c>
      <c r="E18" s="5" t="s">
        <v>82</v>
      </c>
      <c r="F18" s="352">
        <v>12000000</v>
      </c>
      <c r="G18" s="453">
        <v>11115876.799999714</v>
      </c>
      <c r="H18" s="7">
        <v>43839</v>
      </c>
      <c r="I18" s="7">
        <v>43847</v>
      </c>
      <c r="J18" s="453">
        <f>G18</f>
        <v>11115876.799999714</v>
      </c>
      <c r="K18" s="7">
        <v>44925</v>
      </c>
      <c r="L18" s="352"/>
      <c r="M18" s="453">
        <f>J18-L18</f>
        <v>11115876.799999714</v>
      </c>
      <c r="N18" s="7"/>
      <c r="O18" s="5">
        <v>3</v>
      </c>
      <c r="P18" s="5">
        <v>64</v>
      </c>
      <c r="Q18" s="6">
        <v>43818</v>
      </c>
      <c r="R18" s="452"/>
      <c r="T18" s="462">
        <f t="shared" si="1"/>
        <v>11115876.799999714</v>
      </c>
    </row>
    <row r="20" spans="1:20">
      <c r="F20" s="194">
        <f>SUM(F6:F18)</f>
        <v>410260326</v>
      </c>
      <c r="G20" s="331">
        <f>SUM(G6:G18)</f>
        <v>409376202.79999971</v>
      </c>
      <c r="H20" s="133"/>
      <c r="I20" s="133"/>
      <c r="J20" s="331">
        <f>SUM(J6:J18)</f>
        <v>409376202.79999971</v>
      </c>
      <c r="K20" s="133"/>
      <c r="L20" s="194">
        <f>SUM(L6:L18)</f>
        <v>177460000</v>
      </c>
      <c r="M20" s="331">
        <f>SUM(M6:M18)</f>
        <v>231916202.79999971</v>
      </c>
      <c r="T20" s="331">
        <f>SUM(T6:T18)</f>
        <v>231916202.79999971</v>
      </c>
    </row>
    <row r="21" spans="1:20">
      <c r="L21" s="546"/>
    </row>
    <row r="22" spans="1:20">
      <c r="F22" s="198"/>
      <c r="L22" s="546"/>
    </row>
    <row r="23" spans="1:20" ht="12.75" thickBot="1"/>
    <row r="24" spans="1:20" ht="12.75">
      <c r="A24" s="159"/>
      <c r="B24" s="159" t="s">
        <v>285</v>
      </c>
      <c r="C24" s="131"/>
      <c r="D24" s="131"/>
      <c r="E24" s="131"/>
      <c r="F24" s="181"/>
      <c r="G24" s="181"/>
      <c r="H24" s="181"/>
      <c r="I24" s="181"/>
      <c r="J24" s="181"/>
      <c r="K24" s="181"/>
      <c r="L24" s="181"/>
      <c r="M24" s="181"/>
      <c r="N24" s="281"/>
    </row>
    <row r="25" spans="1:20" ht="12.75">
      <c r="A25" s="153" t="s">
        <v>32</v>
      </c>
      <c r="B25" s="273" t="s">
        <v>37</v>
      </c>
      <c r="C25" s="274" t="s">
        <v>31</v>
      </c>
      <c r="D25" s="282" t="s">
        <v>49</v>
      </c>
      <c r="E25" s="282" t="s">
        <v>45</v>
      </c>
      <c r="F25" s="176" t="s">
        <v>84</v>
      </c>
      <c r="G25" s="176" t="s">
        <v>54</v>
      </c>
      <c r="H25" s="276"/>
      <c r="I25" s="276" t="s">
        <v>34</v>
      </c>
      <c r="J25" s="177" t="s">
        <v>87</v>
      </c>
      <c r="K25" s="276"/>
      <c r="L25" s="176" t="s">
        <v>92</v>
      </c>
      <c r="M25" s="277" t="s">
        <v>89</v>
      </c>
      <c r="N25" s="278" t="s">
        <v>22</v>
      </c>
    </row>
    <row r="26" spans="1:20" ht="12.75">
      <c r="A26" s="153" t="s">
        <v>48</v>
      </c>
      <c r="B26" s="279"/>
      <c r="C26" s="274"/>
      <c r="D26" s="282"/>
      <c r="E26" s="282"/>
      <c r="F26" s="176" t="s">
        <v>55</v>
      </c>
      <c r="G26" s="176" t="s">
        <v>55</v>
      </c>
      <c r="H26" s="276" t="s">
        <v>9</v>
      </c>
      <c r="I26" s="276" t="s">
        <v>18</v>
      </c>
      <c r="J26" s="177" t="s">
        <v>55</v>
      </c>
      <c r="K26" s="276" t="s">
        <v>18</v>
      </c>
      <c r="L26" s="176" t="s">
        <v>55</v>
      </c>
      <c r="M26" s="277" t="s">
        <v>90</v>
      </c>
      <c r="N26" s="278" t="s">
        <v>5</v>
      </c>
    </row>
    <row r="27" spans="1:20" ht="13.5" thickBot="1">
      <c r="A27" s="154" t="s">
        <v>17</v>
      </c>
      <c r="B27" s="155"/>
      <c r="C27" s="156"/>
      <c r="D27" s="158"/>
      <c r="E27" s="158"/>
      <c r="F27" s="178"/>
      <c r="G27" s="178"/>
      <c r="H27" s="179"/>
      <c r="I27" s="179"/>
      <c r="J27" s="182"/>
      <c r="K27" s="179"/>
      <c r="L27" s="178"/>
      <c r="M27" s="183" t="s">
        <v>93</v>
      </c>
      <c r="N27" s="280" t="s">
        <v>9</v>
      </c>
    </row>
    <row r="28" spans="1:20">
      <c r="A28" s="162" t="s">
        <v>56</v>
      </c>
    </row>
    <row r="29" spans="1:20">
      <c r="A29" s="4"/>
      <c r="H29" s="200"/>
      <c r="L29" s="198"/>
    </row>
    <row r="30" spans="1:20">
      <c r="A30" s="43">
        <v>5051</v>
      </c>
      <c r="B30" s="43" t="s">
        <v>77</v>
      </c>
      <c r="C30" s="148" t="s">
        <v>366</v>
      </c>
      <c r="D30" s="148" t="s">
        <v>150</v>
      </c>
      <c r="E30" s="148" t="s">
        <v>261</v>
      </c>
      <c r="F30" s="9">
        <v>61260326</v>
      </c>
      <c r="G30" s="9">
        <v>61260326</v>
      </c>
      <c r="H30" s="3">
        <v>43658</v>
      </c>
      <c r="I30" s="152">
        <v>43693</v>
      </c>
      <c r="J30" s="9">
        <v>61260326</v>
      </c>
      <c r="K30" s="152">
        <v>44925</v>
      </c>
      <c r="L30" s="27">
        <f>J30</f>
        <v>61260326</v>
      </c>
      <c r="M30" s="9">
        <f>J30-L30</f>
        <v>0</v>
      </c>
      <c r="N30" s="152">
        <v>43935</v>
      </c>
      <c r="O30" s="43" t="s">
        <v>693</v>
      </c>
      <c r="T30" s="463">
        <f>M30</f>
        <v>0</v>
      </c>
    </row>
    <row r="31" spans="1:20">
      <c r="A31" s="43">
        <v>5053</v>
      </c>
      <c r="B31" s="43" t="s">
        <v>77</v>
      </c>
      <c r="C31" s="148" t="s">
        <v>362</v>
      </c>
      <c r="D31" s="148" t="s">
        <v>262</v>
      </c>
      <c r="E31" s="148" t="s">
        <v>168</v>
      </c>
      <c r="F31" s="9">
        <v>15000000</v>
      </c>
      <c r="G31" s="9">
        <v>15000000</v>
      </c>
      <c r="H31" s="3">
        <v>43666</v>
      </c>
      <c r="I31" s="152">
        <v>43701</v>
      </c>
      <c r="J31" s="9">
        <v>15000000</v>
      </c>
      <c r="K31" s="152">
        <v>44925</v>
      </c>
      <c r="L31" s="27">
        <f>J31</f>
        <v>15000000</v>
      </c>
      <c r="M31" s="9">
        <f t="shared" ref="M31:M39" si="4">J31-L31</f>
        <v>0</v>
      </c>
      <c r="N31" s="152">
        <v>43935</v>
      </c>
      <c r="O31" s="43" t="s">
        <v>694</v>
      </c>
      <c r="T31" s="463">
        <f>M31</f>
        <v>0</v>
      </c>
    </row>
    <row r="32" spans="1:20">
      <c r="A32" s="43">
        <v>5054</v>
      </c>
      <c r="B32" s="43" t="s">
        <v>77</v>
      </c>
      <c r="C32" s="148" t="s">
        <v>368</v>
      </c>
      <c r="D32" s="148" t="s">
        <v>348</v>
      </c>
      <c r="E32" s="148" t="s">
        <v>349</v>
      </c>
      <c r="F32" s="9">
        <v>25000000</v>
      </c>
      <c r="G32" s="9">
        <v>25000000</v>
      </c>
      <c r="H32" s="3">
        <v>43672</v>
      </c>
      <c r="I32" s="152">
        <v>43707</v>
      </c>
      <c r="J32" s="9">
        <v>25000000</v>
      </c>
      <c r="K32" s="152">
        <v>44925</v>
      </c>
      <c r="L32" s="27">
        <f>J32</f>
        <v>25000000</v>
      </c>
      <c r="M32" s="9">
        <f t="shared" si="4"/>
        <v>0</v>
      </c>
      <c r="N32" s="152">
        <v>43935</v>
      </c>
      <c r="O32" s="43" t="s">
        <v>695</v>
      </c>
      <c r="T32" s="463">
        <f t="shared" ref="T32:T33" si="5">M32</f>
        <v>0</v>
      </c>
    </row>
    <row r="33" spans="1:22">
      <c r="A33" s="43">
        <v>5055</v>
      </c>
      <c r="B33" s="43" t="s">
        <v>77</v>
      </c>
      <c r="C33" s="148" t="s">
        <v>379</v>
      </c>
      <c r="D33" s="148" t="s">
        <v>348</v>
      </c>
      <c r="E33" s="148" t="s">
        <v>82</v>
      </c>
      <c r="F33" s="9">
        <v>50000000</v>
      </c>
      <c r="G33" s="9">
        <v>50000000</v>
      </c>
      <c r="H33" s="3">
        <v>43673</v>
      </c>
      <c r="I33" s="152">
        <v>43708</v>
      </c>
      <c r="J33" s="9">
        <v>50000000</v>
      </c>
      <c r="K33" s="152">
        <v>44925</v>
      </c>
      <c r="L33" s="27">
        <f>44019532.35+5980467.65</f>
        <v>50000000</v>
      </c>
      <c r="M33" s="83">
        <f t="shared" si="4"/>
        <v>0</v>
      </c>
      <c r="N33" s="152">
        <v>44043</v>
      </c>
      <c r="O33" s="43" t="s">
        <v>725</v>
      </c>
      <c r="P33" s="43" t="s">
        <v>760</v>
      </c>
      <c r="T33" s="463">
        <f t="shared" si="5"/>
        <v>0</v>
      </c>
    </row>
    <row r="34" spans="1:22">
      <c r="A34" s="43">
        <v>5058</v>
      </c>
      <c r="B34" s="43" t="s">
        <v>77</v>
      </c>
      <c r="C34" s="148" t="s">
        <v>76</v>
      </c>
      <c r="D34" s="148" t="s">
        <v>269</v>
      </c>
      <c r="E34" s="148" t="s">
        <v>154</v>
      </c>
      <c r="F34" s="9">
        <v>387458955</v>
      </c>
      <c r="G34" s="9">
        <v>387458955</v>
      </c>
      <c r="H34" s="3">
        <v>43678</v>
      </c>
      <c r="I34" s="152">
        <v>43713</v>
      </c>
      <c r="J34" s="9">
        <v>387458955</v>
      </c>
      <c r="K34" s="152">
        <v>44925</v>
      </c>
      <c r="L34" s="348">
        <v>162000000</v>
      </c>
      <c r="M34" s="316">
        <f t="shared" si="4"/>
        <v>225458955</v>
      </c>
      <c r="N34" s="356">
        <v>44147</v>
      </c>
      <c r="O34" s="210" t="s">
        <v>917</v>
      </c>
      <c r="T34" s="463">
        <f>M34+162000000</f>
        <v>387458955</v>
      </c>
    </row>
    <row r="35" spans="1:22">
      <c r="A35" s="43">
        <v>5059</v>
      </c>
      <c r="B35" s="43" t="s">
        <v>77</v>
      </c>
      <c r="C35" s="148" t="s">
        <v>364</v>
      </c>
      <c r="D35" s="148" t="s">
        <v>270</v>
      </c>
      <c r="E35" s="148" t="s">
        <v>354</v>
      </c>
      <c r="F35" s="9">
        <v>15000000</v>
      </c>
      <c r="G35" s="9">
        <v>15000000</v>
      </c>
      <c r="H35" s="3">
        <v>43678</v>
      </c>
      <c r="I35" s="152">
        <v>43713</v>
      </c>
      <c r="J35" s="9">
        <v>15000000</v>
      </c>
      <c r="K35" s="152">
        <v>44925</v>
      </c>
      <c r="L35" s="27">
        <v>15000000</v>
      </c>
      <c r="M35" s="9">
        <f t="shared" si="4"/>
        <v>0</v>
      </c>
      <c r="N35" s="152">
        <v>43958</v>
      </c>
      <c r="O35" s="43" t="s">
        <v>761</v>
      </c>
      <c r="T35" s="463">
        <f>M35</f>
        <v>0</v>
      </c>
    </row>
    <row r="36" spans="1:22">
      <c r="A36" s="43">
        <v>5060</v>
      </c>
      <c r="B36" s="43" t="s">
        <v>77</v>
      </c>
      <c r="C36" s="148" t="s">
        <v>365</v>
      </c>
      <c r="D36" s="148" t="s">
        <v>270</v>
      </c>
      <c r="E36" s="148" t="s">
        <v>176</v>
      </c>
      <c r="F36" s="9">
        <v>2000000</v>
      </c>
      <c r="G36" s="9">
        <v>2000000</v>
      </c>
      <c r="H36" s="3">
        <v>43680</v>
      </c>
      <c r="I36" s="152">
        <v>43715</v>
      </c>
      <c r="J36" s="9">
        <v>2000000</v>
      </c>
      <c r="K36" s="152">
        <v>44925</v>
      </c>
      <c r="L36" s="27">
        <v>2000000</v>
      </c>
      <c r="M36" s="9">
        <f t="shared" si="4"/>
        <v>0</v>
      </c>
      <c r="N36" s="152">
        <v>43958</v>
      </c>
      <c r="O36" s="43" t="s">
        <v>762</v>
      </c>
      <c r="T36" s="463">
        <f t="shared" ref="T36:T45" si="6">M36</f>
        <v>0</v>
      </c>
    </row>
    <row r="37" spans="1:22">
      <c r="A37" s="43">
        <v>5061</v>
      </c>
      <c r="B37" s="43" t="s">
        <v>77</v>
      </c>
      <c r="C37" s="148" t="s">
        <v>384</v>
      </c>
      <c r="D37" s="148" t="s">
        <v>353</v>
      </c>
      <c r="E37" s="148" t="s">
        <v>78</v>
      </c>
      <c r="F37" s="9">
        <v>61000000</v>
      </c>
      <c r="G37" s="9">
        <v>61000000</v>
      </c>
      <c r="H37" s="3">
        <v>43680</v>
      </c>
      <c r="I37" s="152">
        <v>43715</v>
      </c>
      <c r="J37" s="9">
        <v>61000000</v>
      </c>
      <c r="K37" s="152">
        <v>44925</v>
      </c>
      <c r="L37" s="27">
        <v>61000000</v>
      </c>
      <c r="M37" s="9">
        <f t="shared" si="4"/>
        <v>0</v>
      </c>
      <c r="N37" s="152">
        <v>43958</v>
      </c>
      <c r="O37" s="43" t="s">
        <v>763</v>
      </c>
      <c r="T37" s="463">
        <f t="shared" si="6"/>
        <v>0</v>
      </c>
    </row>
    <row r="38" spans="1:22">
      <c r="A38" s="43">
        <v>5062</v>
      </c>
      <c r="B38" s="43" t="s">
        <v>77</v>
      </c>
      <c r="C38" s="148" t="s">
        <v>367</v>
      </c>
      <c r="D38" s="148" t="s">
        <v>355</v>
      </c>
      <c r="E38" s="148" t="s">
        <v>266</v>
      </c>
      <c r="F38" s="9">
        <v>40000000</v>
      </c>
      <c r="G38" s="9">
        <v>40000000</v>
      </c>
      <c r="H38" s="3">
        <v>43680</v>
      </c>
      <c r="I38" s="152">
        <v>43715</v>
      </c>
      <c r="J38" s="9">
        <v>40000000</v>
      </c>
      <c r="K38" s="152">
        <v>44925</v>
      </c>
      <c r="L38" s="27">
        <v>40000000</v>
      </c>
      <c r="M38" s="9">
        <f t="shared" si="4"/>
        <v>0</v>
      </c>
      <c r="N38" s="152">
        <v>43958</v>
      </c>
      <c r="O38" s="43" t="s">
        <v>764</v>
      </c>
      <c r="Q38" s="373"/>
      <c r="T38" s="463">
        <f t="shared" si="6"/>
        <v>0</v>
      </c>
    </row>
    <row r="39" spans="1:22">
      <c r="A39" s="43">
        <v>5063</v>
      </c>
      <c r="B39" s="43" t="s">
        <v>77</v>
      </c>
      <c r="C39" s="148" t="s">
        <v>383</v>
      </c>
      <c r="D39" s="148" t="s">
        <v>355</v>
      </c>
      <c r="E39" s="148" t="s">
        <v>356</v>
      </c>
      <c r="F39" s="9">
        <v>54000000</v>
      </c>
      <c r="G39" s="9">
        <v>54000000</v>
      </c>
      <c r="H39" s="3">
        <v>43680</v>
      </c>
      <c r="I39" s="152">
        <v>43715</v>
      </c>
      <c r="J39" s="9">
        <v>54000000</v>
      </c>
      <c r="K39" s="152">
        <v>44925</v>
      </c>
      <c r="L39" s="27">
        <v>33402044.350000001</v>
      </c>
      <c r="M39" s="9">
        <f t="shared" si="4"/>
        <v>20597955.649999999</v>
      </c>
      <c r="N39" s="152">
        <v>43958</v>
      </c>
      <c r="O39" s="43" t="s">
        <v>824</v>
      </c>
      <c r="T39" s="463">
        <f t="shared" si="6"/>
        <v>20597955.649999999</v>
      </c>
    </row>
    <row r="40" spans="1:22">
      <c r="A40" s="43">
        <v>5064</v>
      </c>
      <c r="B40" s="43" t="s">
        <v>77</v>
      </c>
      <c r="C40" s="148" t="s">
        <v>152</v>
      </c>
      <c r="D40" s="148" t="s">
        <v>645</v>
      </c>
      <c r="E40" s="148" t="s">
        <v>154</v>
      </c>
      <c r="F40" s="9">
        <v>116214444</v>
      </c>
      <c r="G40" s="9">
        <v>116214444</v>
      </c>
      <c r="H40" s="3">
        <v>43680</v>
      </c>
      <c r="I40" s="152">
        <v>43715</v>
      </c>
      <c r="J40" s="9">
        <v>116214444</v>
      </c>
      <c r="K40" s="152">
        <v>44925</v>
      </c>
      <c r="L40" s="353">
        <f>59999371.6+56214444</f>
        <v>116213815.59999999</v>
      </c>
      <c r="M40" s="83">
        <f>J40-L40</f>
        <v>628.40000000596046</v>
      </c>
      <c r="N40" s="152">
        <v>43907</v>
      </c>
      <c r="O40" s="43" t="s">
        <v>721</v>
      </c>
      <c r="Q40" s="373"/>
      <c r="T40" s="464">
        <f t="shared" si="6"/>
        <v>628.40000000596046</v>
      </c>
    </row>
    <row r="41" spans="1:22">
      <c r="A41" s="43">
        <v>5065</v>
      </c>
      <c r="B41" s="43" t="s">
        <v>77</v>
      </c>
      <c r="C41" s="148" t="s">
        <v>380</v>
      </c>
      <c r="D41" s="148" t="s">
        <v>357</v>
      </c>
      <c r="E41" s="148" t="s">
        <v>358</v>
      </c>
      <c r="F41" s="9">
        <v>61000000</v>
      </c>
      <c r="G41" s="9">
        <v>61000000</v>
      </c>
      <c r="H41" s="3">
        <v>43680</v>
      </c>
      <c r="I41" s="152">
        <v>43715</v>
      </c>
      <c r="J41" s="9">
        <v>61000000</v>
      </c>
      <c r="K41" s="152">
        <v>44925</v>
      </c>
      <c r="L41" s="27">
        <v>0</v>
      </c>
      <c r="M41" s="9">
        <f>J41-L41</f>
        <v>61000000</v>
      </c>
      <c r="N41" s="152">
        <v>43847</v>
      </c>
      <c r="O41" s="259"/>
      <c r="T41" s="463">
        <f t="shared" si="6"/>
        <v>61000000</v>
      </c>
    </row>
    <row r="42" spans="1:22">
      <c r="A42" s="43">
        <v>5066</v>
      </c>
      <c r="B42" s="43" t="s">
        <v>77</v>
      </c>
      <c r="C42" s="148" t="s">
        <v>371</v>
      </c>
      <c r="D42" s="148" t="s">
        <v>270</v>
      </c>
      <c r="E42" s="148" t="s">
        <v>359</v>
      </c>
      <c r="F42" s="9">
        <v>10000000</v>
      </c>
      <c r="G42" s="9">
        <v>10000000</v>
      </c>
      <c r="H42" s="3">
        <v>43680</v>
      </c>
      <c r="I42" s="152">
        <v>43715</v>
      </c>
      <c r="J42" s="9">
        <v>10000000</v>
      </c>
      <c r="K42" s="152">
        <v>44925</v>
      </c>
      <c r="L42" s="27">
        <v>0</v>
      </c>
      <c r="M42" s="9">
        <f t="shared" ref="M42:M43" si="7">J42-L42</f>
        <v>10000000</v>
      </c>
      <c r="N42" s="152">
        <v>43847</v>
      </c>
      <c r="T42" s="463">
        <f t="shared" si="6"/>
        <v>10000000</v>
      </c>
    </row>
    <row r="43" spans="1:22">
      <c r="A43" s="43">
        <v>5067</v>
      </c>
      <c r="B43" s="43" t="s">
        <v>77</v>
      </c>
      <c r="C43" s="148" t="s">
        <v>363</v>
      </c>
      <c r="D43" s="148" t="s">
        <v>360</v>
      </c>
      <c r="E43" s="148" t="s">
        <v>361</v>
      </c>
      <c r="F43" s="9">
        <v>20000000</v>
      </c>
      <c r="G43" s="9">
        <v>20000000</v>
      </c>
      <c r="H43" s="3">
        <v>43680</v>
      </c>
      <c r="I43" s="152">
        <v>43715</v>
      </c>
      <c r="J43" s="9">
        <v>20000000</v>
      </c>
      <c r="K43" s="152">
        <v>44925</v>
      </c>
      <c r="L43" s="27">
        <v>0</v>
      </c>
      <c r="M43" s="9">
        <f t="shared" si="7"/>
        <v>20000000</v>
      </c>
      <c r="N43" s="152">
        <v>43847</v>
      </c>
      <c r="T43" s="463">
        <f t="shared" si="6"/>
        <v>20000000</v>
      </c>
    </row>
    <row r="44" spans="1:22">
      <c r="A44" s="43">
        <v>5068</v>
      </c>
      <c r="B44" s="43" t="s">
        <v>632</v>
      </c>
      <c r="C44" s="148" t="s">
        <v>152</v>
      </c>
      <c r="D44" s="148" t="s">
        <v>270</v>
      </c>
      <c r="E44" s="148" t="s">
        <v>154</v>
      </c>
      <c r="F44" s="9">
        <v>220210711</v>
      </c>
      <c r="G44" s="9">
        <v>220210711</v>
      </c>
      <c r="H44" s="3">
        <v>43685</v>
      </c>
      <c r="I44" s="152">
        <v>43720</v>
      </c>
      <c r="J44" s="9">
        <v>220210711</v>
      </c>
      <c r="K44" s="152">
        <v>43895</v>
      </c>
      <c r="L44" s="289">
        <f>J44</f>
        <v>220210711</v>
      </c>
      <c r="M44" s="9">
        <v>0</v>
      </c>
      <c r="N44" s="152">
        <v>43901</v>
      </c>
      <c r="T44" s="463">
        <f t="shared" si="6"/>
        <v>0</v>
      </c>
      <c r="V44" t="s">
        <v>720</v>
      </c>
    </row>
    <row r="45" spans="1:22">
      <c r="A45" s="43">
        <v>5098</v>
      </c>
      <c r="B45" s="43" t="s">
        <v>77</v>
      </c>
      <c r="C45" s="148" t="s">
        <v>76</v>
      </c>
      <c r="D45" s="148" t="s">
        <v>269</v>
      </c>
      <c r="E45" s="148" t="s">
        <v>154</v>
      </c>
      <c r="F45" s="83">
        <v>128717758.63</v>
      </c>
      <c r="G45" s="83">
        <v>128717758.63</v>
      </c>
      <c r="H45" s="3">
        <v>43783</v>
      </c>
      <c r="I45" s="152">
        <v>43818</v>
      </c>
      <c r="J45" s="83">
        <v>128717758.63</v>
      </c>
      <c r="K45" s="152">
        <v>44925</v>
      </c>
      <c r="L45" s="27">
        <v>0</v>
      </c>
      <c r="M45" s="83">
        <f>J45-L45</f>
        <v>128717758.63</v>
      </c>
      <c r="N45" s="152">
        <v>43847</v>
      </c>
      <c r="T45" s="463">
        <f t="shared" si="6"/>
        <v>128717758.63</v>
      </c>
    </row>
    <row r="46" spans="1:22">
      <c r="A46" s="13"/>
      <c r="B46" s="13"/>
      <c r="C46" s="13"/>
      <c r="D46" s="13"/>
      <c r="E46" s="13"/>
      <c r="F46" s="289"/>
      <c r="G46" s="185"/>
      <c r="H46" s="185"/>
      <c r="I46" s="185"/>
      <c r="J46" s="185"/>
      <c r="K46" s="185"/>
      <c r="M46" s="204"/>
      <c r="N46" s="152"/>
    </row>
    <row r="47" spans="1:22">
      <c r="F47" s="185"/>
      <c r="G47" s="185"/>
      <c r="H47" s="185"/>
      <c r="I47" s="185"/>
      <c r="J47" s="331">
        <f>SUM(J30:J45)</f>
        <v>1266862194.6300001</v>
      </c>
      <c r="K47" s="433"/>
      <c r="L47" s="331">
        <f t="shared" ref="L47:M47" si="8">SUM(L30:L45)</f>
        <v>801086896.95000005</v>
      </c>
      <c r="M47" s="331">
        <f t="shared" si="8"/>
        <v>465775297.68000001</v>
      </c>
      <c r="N47" s="152"/>
      <c r="T47" s="331">
        <f>SUM(T30:T45)</f>
        <v>627775297.67999995</v>
      </c>
    </row>
    <row r="48" spans="1:22" ht="12.75" thickBot="1">
      <c r="F48" s="185"/>
      <c r="G48" s="470"/>
      <c r="H48" s="185"/>
      <c r="I48" s="185"/>
      <c r="J48" s="185"/>
      <c r="K48" s="185"/>
      <c r="L48" s="193"/>
      <c r="M48" s="373"/>
      <c r="N48" s="152"/>
    </row>
    <row r="49" spans="1:20">
      <c r="A49" s="169" t="s">
        <v>94</v>
      </c>
      <c r="F49" s="185"/>
      <c r="G49" s="188"/>
      <c r="H49" s="152"/>
      <c r="I49" s="185"/>
      <c r="J49" s="185"/>
      <c r="K49" s="291"/>
      <c r="L49" s="373"/>
      <c r="N49" s="152"/>
    </row>
    <row r="50" spans="1:20">
      <c r="A50" s="43">
        <v>5070</v>
      </c>
      <c r="B50" s="43" t="s">
        <v>632</v>
      </c>
      <c r="C50" s="148" t="s">
        <v>297</v>
      </c>
      <c r="D50" s="148" t="s">
        <v>298</v>
      </c>
      <c r="E50" s="148" t="s">
        <v>80</v>
      </c>
      <c r="F50" s="9">
        <v>25000000</v>
      </c>
      <c r="G50" s="9">
        <v>25000000</v>
      </c>
      <c r="H50" s="3">
        <v>43698</v>
      </c>
      <c r="I50" s="152">
        <v>43733</v>
      </c>
      <c r="J50" s="9">
        <v>25000000</v>
      </c>
      <c r="K50" s="152">
        <v>44925</v>
      </c>
      <c r="L50" s="289">
        <f>21956000+3044000</f>
        <v>25000000</v>
      </c>
      <c r="M50" s="9">
        <f t="shared" ref="M50:M58" si="9">J50-L50</f>
        <v>0</v>
      </c>
      <c r="N50" s="152">
        <v>44034</v>
      </c>
      <c r="O50" s="132" t="s">
        <v>814</v>
      </c>
      <c r="T50" s="448">
        <f>M50</f>
        <v>0</v>
      </c>
    </row>
    <row r="51" spans="1:20" s="455" customFormat="1">
      <c r="A51" s="456">
        <v>5071</v>
      </c>
      <c r="B51" s="456" t="s">
        <v>77</v>
      </c>
      <c r="C51" s="457" t="s">
        <v>295</v>
      </c>
      <c r="D51" s="457" t="s">
        <v>94</v>
      </c>
      <c r="E51" s="457" t="s">
        <v>229</v>
      </c>
      <c r="F51" s="458">
        <v>48000000</v>
      </c>
      <c r="G51" s="458">
        <v>48000000</v>
      </c>
      <c r="H51" s="459">
        <v>43698</v>
      </c>
      <c r="I51" s="460">
        <v>43733</v>
      </c>
      <c r="J51" s="458">
        <v>44000000</v>
      </c>
      <c r="K51" s="460">
        <v>44925</v>
      </c>
      <c r="L51" s="536">
        <f>25090000+18910000</f>
        <v>44000000</v>
      </c>
      <c r="M51" s="537">
        <f t="shared" si="9"/>
        <v>0</v>
      </c>
      <c r="N51" s="538">
        <v>44063</v>
      </c>
      <c r="O51" s="455" t="s">
        <v>633</v>
      </c>
      <c r="P51" s="43" t="s">
        <v>813</v>
      </c>
      <c r="Q51" s="539" t="s">
        <v>888</v>
      </c>
      <c r="T51" s="461">
        <f>M51+18910000</f>
        <v>18910000</v>
      </c>
    </row>
    <row r="52" spans="1:20">
      <c r="A52" s="43">
        <v>5072</v>
      </c>
      <c r="B52" s="43" t="s">
        <v>77</v>
      </c>
      <c r="C52" s="148" t="s">
        <v>233</v>
      </c>
      <c r="D52" s="148" t="s">
        <v>94</v>
      </c>
      <c r="E52" s="148" t="s">
        <v>79</v>
      </c>
      <c r="F52" s="9">
        <v>50000000</v>
      </c>
      <c r="G52" s="9">
        <v>50000000</v>
      </c>
      <c r="H52" s="3">
        <v>43698</v>
      </c>
      <c r="I52" s="152">
        <v>43733</v>
      </c>
      <c r="J52" s="9">
        <v>50000000</v>
      </c>
      <c r="K52" s="152">
        <v>44925</v>
      </c>
      <c r="L52" s="289">
        <v>50000000</v>
      </c>
      <c r="M52" s="9">
        <f t="shared" si="9"/>
        <v>0</v>
      </c>
      <c r="N52" s="152">
        <v>43916</v>
      </c>
      <c r="O52" s="43" t="s">
        <v>675</v>
      </c>
      <c r="T52" s="448">
        <f>M52</f>
        <v>0</v>
      </c>
    </row>
    <row r="53" spans="1:20">
      <c r="A53" s="43">
        <v>5073</v>
      </c>
      <c r="B53" s="43" t="s">
        <v>77</v>
      </c>
      <c r="C53" s="148" t="s">
        <v>230</v>
      </c>
      <c r="D53" s="148" t="s">
        <v>94</v>
      </c>
      <c r="E53" s="148" t="s">
        <v>80</v>
      </c>
      <c r="F53" s="9">
        <v>30000000</v>
      </c>
      <c r="G53" s="9">
        <v>30000000</v>
      </c>
      <c r="H53" s="3">
        <v>43698</v>
      </c>
      <c r="I53" s="152">
        <v>43733</v>
      </c>
      <c r="J53" s="9">
        <v>30000000</v>
      </c>
      <c r="K53" s="152">
        <v>44925</v>
      </c>
      <c r="L53" s="289">
        <v>30000000</v>
      </c>
      <c r="M53" s="9">
        <f t="shared" si="9"/>
        <v>0</v>
      </c>
      <c r="N53" s="152">
        <v>44020</v>
      </c>
      <c r="O53" s="43" t="s">
        <v>670</v>
      </c>
      <c r="T53" s="448">
        <f t="shared" ref="T53:T54" si="10">M53</f>
        <v>0</v>
      </c>
    </row>
    <row r="54" spans="1:20">
      <c r="A54" s="43">
        <v>5074</v>
      </c>
      <c r="B54" s="43" t="s">
        <v>77</v>
      </c>
      <c r="C54" s="148" t="s">
        <v>289</v>
      </c>
      <c r="D54" s="148" t="s">
        <v>94</v>
      </c>
      <c r="E54" s="148" t="s">
        <v>78</v>
      </c>
      <c r="F54" s="9">
        <v>35000000</v>
      </c>
      <c r="G54" s="9">
        <v>35000000</v>
      </c>
      <c r="H54" s="3">
        <v>43698</v>
      </c>
      <c r="I54" s="152">
        <v>43733</v>
      </c>
      <c r="J54" s="9">
        <v>25000000</v>
      </c>
      <c r="K54" s="152">
        <v>44925</v>
      </c>
      <c r="L54" s="289">
        <f>22499037.72+2500962.28</f>
        <v>25000000</v>
      </c>
      <c r="M54" s="83">
        <f t="shared" si="9"/>
        <v>0</v>
      </c>
      <c r="N54" s="152">
        <v>44050</v>
      </c>
      <c r="O54" s="43" t="s">
        <v>816</v>
      </c>
      <c r="P54" s="43" t="s">
        <v>864</v>
      </c>
      <c r="T54" s="448">
        <f t="shared" si="10"/>
        <v>0</v>
      </c>
    </row>
    <row r="55" spans="1:20">
      <c r="A55" s="43">
        <v>5075</v>
      </c>
      <c r="B55" s="43" t="s">
        <v>77</v>
      </c>
      <c r="C55" s="148" t="s">
        <v>230</v>
      </c>
      <c r="D55" s="148" t="s">
        <v>94</v>
      </c>
      <c r="E55" s="148" t="s">
        <v>80</v>
      </c>
      <c r="F55" s="9">
        <v>35000000</v>
      </c>
      <c r="G55" s="9">
        <v>35000000</v>
      </c>
      <c r="H55" s="3">
        <v>43698</v>
      </c>
      <c r="I55" s="152">
        <v>43733</v>
      </c>
      <c r="J55" s="9">
        <v>35000000</v>
      </c>
      <c r="K55" s="152">
        <v>44925</v>
      </c>
      <c r="L55" s="289">
        <f>8000000+27000000</f>
        <v>35000000</v>
      </c>
      <c r="M55" s="9">
        <f t="shared" si="9"/>
        <v>0</v>
      </c>
      <c r="N55" s="152">
        <v>44020</v>
      </c>
      <c r="O55" s="43" t="s">
        <v>798</v>
      </c>
      <c r="P55" s="210"/>
      <c r="T55" s="448">
        <f>M55</f>
        <v>0</v>
      </c>
    </row>
    <row r="56" spans="1:20">
      <c r="A56" s="43">
        <v>5076</v>
      </c>
      <c r="B56" s="43" t="s">
        <v>77</v>
      </c>
      <c r="C56" s="148" t="s">
        <v>289</v>
      </c>
      <c r="D56" s="148" t="s">
        <v>94</v>
      </c>
      <c r="E56" s="148" t="s">
        <v>78</v>
      </c>
      <c r="F56" s="9">
        <v>45000000</v>
      </c>
      <c r="G56" s="9">
        <v>45000000</v>
      </c>
      <c r="H56" s="3">
        <v>43699</v>
      </c>
      <c r="I56" s="152">
        <v>43734</v>
      </c>
      <c r="J56" s="9">
        <v>45000000</v>
      </c>
      <c r="K56" s="152">
        <v>43879</v>
      </c>
      <c r="L56" s="289">
        <f>25788042.93+19211957.07</f>
        <v>45000000</v>
      </c>
      <c r="M56" s="83">
        <f t="shared" si="9"/>
        <v>0</v>
      </c>
      <c r="N56" s="152">
        <v>44183</v>
      </c>
      <c r="O56" s="43" t="s">
        <v>865</v>
      </c>
      <c r="P56" s="43" t="s">
        <v>866</v>
      </c>
      <c r="T56" s="448">
        <f>M56+19211957.07</f>
        <v>19211957.07</v>
      </c>
    </row>
    <row r="57" spans="1:20">
      <c r="A57" s="43">
        <v>5078</v>
      </c>
      <c r="B57" s="43" t="s">
        <v>632</v>
      </c>
      <c r="C57" s="148" t="s">
        <v>141</v>
      </c>
      <c r="D57" s="148" t="s">
        <v>306</v>
      </c>
      <c r="E57" s="148" t="s">
        <v>142</v>
      </c>
      <c r="F57" s="9">
        <v>10000000</v>
      </c>
      <c r="G57" s="9">
        <v>10000000</v>
      </c>
      <c r="H57" s="3">
        <v>43699</v>
      </c>
      <c r="I57" s="152">
        <v>43734</v>
      </c>
      <c r="J57" s="9">
        <v>10000000</v>
      </c>
      <c r="K57" s="152">
        <v>44925</v>
      </c>
      <c r="L57" s="289">
        <f>6590000+3410000</f>
        <v>10000000</v>
      </c>
      <c r="M57" s="9">
        <f t="shared" si="9"/>
        <v>0</v>
      </c>
      <c r="N57" s="152">
        <v>44076</v>
      </c>
      <c r="O57" s="35" t="s">
        <v>719</v>
      </c>
      <c r="P57" s="259"/>
      <c r="T57" s="448">
        <f>M57</f>
        <v>0</v>
      </c>
    </row>
    <row r="58" spans="1:20">
      <c r="A58" s="43">
        <v>5079</v>
      </c>
      <c r="B58" s="43" t="s">
        <v>77</v>
      </c>
      <c r="C58" s="148" t="s">
        <v>249</v>
      </c>
      <c r="D58" s="148" t="s">
        <v>94</v>
      </c>
      <c r="E58" s="148" t="s">
        <v>250</v>
      </c>
      <c r="F58" s="9">
        <v>52000000</v>
      </c>
      <c r="G58" s="9">
        <v>52000000</v>
      </c>
      <c r="H58" s="3">
        <v>43699</v>
      </c>
      <c r="I58" s="152">
        <v>43734</v>
      </c>
      <c r="J58" s="9">
        <v>52000000</v>
      </c>
      <c r="K58" s="152">
        <v>44925</v>
      </c>
      <c r="L58" s="359">
        <v>52000000</v>
      </c>
      <c r="M58" s="316">
        <f t="shared" si="9"/>
        <v>0</v>
      </c>
      <c r="N58" s="356">
        <v>44146</v>
      </c>
      <c r="O58" s="210" t="s">
        <v>914</v>
      </c>
      <c r="T58" s="448">
        <f>M58+52000000</f>
        <v>52000000</v>
      </c>
    </row>
    <row r="59" spans="1:20">
      <c r="A59" s="43">
        <v>5080</v>
      </c>
      <c r="B59" s="43" t="s">
        <v>77</v>
      </c>
      <c r="C59" s="148" t="s">
        <v>346</v>
      </c>
      <c r="D59" s="148" t="s">
        <v>94</v>
      </c>
      <c r="E59" s="148" t="s">
        <v>234</v>
      </c>
      <c r="F59" s="9">
        <v>35000000</v>
      </c>
      <c r="G59" s="9">
        <v>35000000</v>
      </c>
      <c r="H59" s="3">
        <v>43699</v>
      </c>
      <c r="I59" s="152">
        <v>43734</v>
      </c>
      <c r="J59" s="9">
        <v>35000000</v>
      </c>
      <c r="K59" s="152">
        <v>44925</v>
      </c>
      <c r="L59" s="289">
        <v>0</v>
      </c>
      <c r="M59" s="9">
        <f t="shared" ref="M59:M60" si="11">J59-L59</f>
        <v>35000000</v>
      </c>
      <c r="N59" s="152">
        <v>43845</v>
      </c>
      <c r="O59" s="200"/>
      <c r="T59" s="448">
        <f>M59</f>
        <v>35000000</v>
      </c>
    </row>
    <row r="60" spans="1:20">
      <c r="A60" s="43">
        <v>5081</v>
      </c>
      <c r="B60" s="43" t="s">
        <v>77</v>
      </c>
      <c r="C60" s="148" t="s">
        <v>161</v>
      </c>
      <c r="D60" s="148" t="s">
        <v>94</v>
      </c>
      <c r="E60" s="148" t="s">
        <v>313</v>
      </c>
      <c r="F60" s="9">
        <v>15000000</v>
      </c>
      <c r="G60" s="9">
        <v>15000000</v>
      </c>
      <c r="H60" s="3">
        <v>43699</v>
      </c>
      <c r="I60" s="152">
        <v>43734</v>
      </c>
      <c r="J60" s="9">
        <v>15000000</v>
      </c>
      <c r="K60" s="152">
        <v>44925</v>
      </c>
      <c r="L60" s="289">
        <v>0</v>
      </c>
      <c r="M60" s="9">
        <f t="shared" si="11"/>
        <v>15000000</v>
      </c>
      <c r="N60" s="152">
        <v>44147</v>
      </c>
      <c r="O60" s="210"/>
      <c r="T60" s="448">
        <f>M60</f>
        <v>15000000</v>
      </c>
    </row>
    <row r="61" spans="1:20">
      <c r="A61" s="43">
        <v>5083</v>
      </c>
      <c r="B61" s="43" t="s">
        <v>77</v>
      </c>
      <c r="C61" s="148" t="s">
        <v>316</v>
      </c>
      <c r="D61" s="148" t="s">
        <v>94</v>
      </c>
      <c r="E61" s="148" t="s">
        <v>79</v>
      </c>
      <c r="F61" s="9">
        <v>60000000</v>
      </c>
      <c r="G61" s="9">
        <v>60000000</v>
      </c>
      <c r="H61" s="3">
        <v>43712</v>
      </c>
      <c r="I61" s="152">
        <v>43747</v>
      </c>
      <c r="J61" s="9">
        <v>60000000</v>
      </c>
      <c r="K61" s="152">
        <v>44925</v>
      </c>
      <c r="L61" s="289">
        <f>10999980.86+24799795.45+24200223.69</f>
        <v>60000000</v>
      </c>
      <c r="M61" s="9">
        <f>J61-L61</f>
        <v>0</v>
      </c>
      <c r="N61" s="152">
        <v>44103</v>
      </c>
      <c r="O61" s="43" t="s">
        <v>832</v>
      </c>
      <c r="P61" s="43" t="s">
        <v>833</v>
      </c>
      <c r="Q61" s="43" t="s">
        <v>831</v>
      </c>
      <c r="T61" s="448">
        <f>M61</f>
        <v>0</v>
      </c>
    </row>
    <row r="62" spans="1:20">
      <c r="A62" s="43">
        <v>5084</v>
      </c>
      <c r="B62" s="43" t="s">
        <v>77</v>
      </c>
      <c r="C62" s="148" t="s">
        <v>235</v>
      </c>
      <c r="D62" s="148" t="s">
        <v>94</v>
      </c>
      <c r="E62" s="148" t="s">
        <v>81</v>
      </c>
      <c r="F62" s="9">
        <v>50000000</v>
      </c>
      <c r="G62" s="9">
        <v>50000000</v>
      </c>
      <c r="H62" s="3">
        <v>43712</v>
      </c>
      <c r="I62" s="152">
        <v>43747</v>
      </c>
      <c r="J62" s="9">
        <v>50000000</v>
      </c>
      <c r="K62" s="152">
        <v>44925</v>
      </c>
      <c r="L62" s="289">
        <f>35000000+15000000</f>
        <v>50000000</v>
      </c>
      <c r="M62" s="9">
        <f>J62-L62</f>
        <v>0</v>
      </c>
      <c r="N62" s="152">
        <v>44047</v>
      </c>
      <c r="O62" s="43" t="s">
        <v>827</v>
      </c>
      <c r="P62" s="43" t="s">
        <v>837</v>
      </c>
      <c r="Q62" s="193"/>
      <c r="T62" s="448">
        <f t="shared" ref="T62:T74" si="12">M62</f>
        <v>0</v>
      </c>
    </row>
    <row r="63" spans="1:20">
      <c r="A63" s="43">
        <v>5085</v>
      </c>
      <c r="B63" s="43" t="s">
        <v>77</v>
      </c>
      <c r="C63" s="148" t="s">
        <v>235</v>
      </c>
      <c r="D63" s="148" t="s">
        <v>94</v>
      </c>
      <c r="E63" s="148" t="s">
        <v>81</v>
      </c>
      <c r="F63" s="9">
        <v>30000000</v>
      </c>
      <c r="G63" s="9">
        <v>30000000</v>
      </c>
      <c r="H63" s="3">
        <v>43712</v>
      </c>
      <c r="I63" s="152">
        <v>43747</v>
      </c>
      <c r="J63" s="9">
        <v>30000000</v>
      </c>
      <c r="K63" s="152">
        <v>44925</v>
      </c>
      <c r="L63" s="289">
        <v>30000000</v>
      </c>
      <c r="M63" s="9">
        <f t="shared" ref="M63:M64" si="13">J63-L63</f>
        <v>0</v>
      </c>
      <c r="N63" s="152">
        <v>44047</v>
      </c>
      <c r="O63" s="43" t="s">
        <v>838</v>
      </c>
      <c r="P63" s="516"/>
      <c r="Q63" s="516"/>
      <c r="T63" s="448">
        <f t="shared" si="12"/>
        <v>0</v>
      </c>
    </row>
    <row r="64" spans="1:20">
      <c r="A64" s="43">
        <v>5086</v>
      </c>
      <c r="B64" s="43" t="s">
        <v>77</v>
      </c>
      <c r="C64" s="148" t="s">
        <v>235</v>
      </c>
      <c r="D64" s="148" t="s">
        <v>94</v>
      </c>
      <c r="E64" s="148" t="s">
        <v>81</v>
      </c>
      <c r="F64" s="9">
        <v>32000000</v>
      </c>
      <c r="G64" s="9">
        <v>32000000</v>
      </c>
      <c r="H64" s="3">
        <v>43715</v>
      </c>
      <c r="I64" s="152">
        <v>43750</v>
      </c>
      <c r="J64" s="9">
        <v>32000000</v>
      </c>
      <c r="K64" s="152">
        <v>44925</v>
      </c>
      <c r="L64" s="289">
        <f>3899144.32+25601716.25+2499139.43</f>
        <v>32000000</v>
      </c>
      <c r="M64" s="83">
        <f t="shared" si="13"/>
        <v>0</v>
      </c>
      <c r="N64" s="152">
        <v>44056</v>
      </c>
      <c r="O64" s="43" t="s">
        <v>839</v>
      </c>
      <c r="P64" s="43" t="s">
        <v>874</v>
      </c>
      <c r="Q64" s="43" t="s">
        <v>916</v>
      </c>
      <c r="T64" s="448">
        <f t="shared" si="12"/>
        <v>0</v>
      </c>
    </row>
    <row r="65" spans="1:20" s="455" customFormat="1">
      <c r="A65" s="456">
        <v>5089</v>
      </c>
      <c r="B65" s="456" t="s">
        <v>632</v>
      </c>
      <c r="C65" s="457" t="s">
        <v>222</v>
      </c>
      <c r="D65" s="457" t="s">
        <v>224</v>
      </c>
      <c r="E65" s="457" t="s">
        <v>223</v>
      </c>
      <c r="F65" s="458">
        <v>20000000</v>
      </c>
      <c r="G65" s="458">
        <v>20000000</v>
      </c>
      <c r="H65" s="459">
        <v>43741</v>
      </c>
      <c r="I65" s="460">
        <v>43776</v>
      </c>
      <c r="J65" s="458">
        <v>5000000</v>
      </c>
      <c r="K65" s="460">
        <v>43921</v>
      </c>
      <c r="L65" s="473">
        <v>5000000</v>
      </c>
      <c r="M65" s="458">
        <f>J65-L65</f>
        <v>0</v>
      </c>
      <c r="N65" s="460">
        <v>43922</v>
      </c>
      <c r="O65" s="455" t="s">
        <v>735</v>
      </c>
      <c r="T65" s="448">
        <f t="shared" si="12"/>
        <v>0</v>
      </c>
    </row>
    <row r="66" spans="1:20">
      <c r="A66" s="43">
        <v>5090</v>
      </c>
      <c r="B66" s="43" t="s">
        <v>77</v>
      </c>
      <c r="C66" s="148" t="s">
        <v>230</v>
      </c>
      <c r="D66" s="148" t="s">
        <v>94</v>
      </c>
      <c r="E66" s="148" t="s">
        <v>80</v>
      </c>
      <c r="F66" s="9">
        <v>33500000</v>
      </c>
      <c r="G66" s="9">
        <v>33500000</v>
      </c>
      <c r="H66" s="3">
        <v>43754</v>
      </c>
      <c r="I66" s="152">
        <v>43789</v>
      </c>
      <c r="J66" s="9">
        <v>33500000</v>
      </c>
      <c r="K66" s="152">
        <v>44925</v>
      </c>
      <c r="L66" s="289">
        <f>3370000+30130000</f>
        <v>33500000</v>
      </c>
      <c r="M66" s="9">
        <f>J66-L66</f>
        <v>0</v>
      </c>
      <c r="N66" s="152">
        <v>44113</v>
      </c>
      <c r="O66" s="43" t="s">
        <v>799</v>
      </c>
      <c r="P66" s="43" t="s">
        <v>800</v>
      </c>
      <c r="T66" s="448">
        <f t="shared" si="12"/>
        <v>0</v>
      </c>
    </row>
    <row r="67" spans="1:20">
      <c r="A67" s="43">
        <v>5091</v>
      </c>
      <c r="B67" s="43" t="s">
        <v>632</v>
      </c>
      <c r="C67" s="148" t="s">
        <v>251</v>
      </c>
      <c r="D67" s="148" t="s">
        <v>347</v>
      </c>
      <c r="E67" s="148" t="s">
        <v>80</v>
      </c>
      <c r="F67" s="9">
        <v>50000000</v>
      </c>
      <c r="G67" s="9">
        <v>50000000</v>
      </c>
      <c r="H67" s="3">
        <v>43754</v>
      </c>
      <c r="I67" s="152">
        <v>43789</v>
      </c>
      <c r="J67" s="9">
        <v>50000000</v>
      </c>
      <c r="K67" s="152">
        <v>43934</v>
      </c>
      <c r="L67" s="289">
        <v>41500000</v>
      </c>
      <c r="M67" s="9">
        <f t="shared" ref="M67:M68" si="14">J67-L67</f>
        <v>8500000</v>
      </c>
      <c r="N67" s="152">
        <v>43935</v>
      </c>
      <c r="T67" s="448">
        <f t="shared" si="12"/>
        <v>8500000</v>
      </c>
    </row>
    <row r="68" spans="1:20">
      <c r="A68" s="43">
        <v>5092</v>
      </c>
      <c r="B68" s="43" t="s">
        <v>632</v>
      </c>
      <c r="C68" s="148" t="s">
        <v>251</v>
      </c>
      <c r="D68" s="148" t="s">
        <v>320</v>
      </c>
      <c r="E68" s="148" t="s">
        <v>321</v>
      </c>
      <c r="F68" s="9">
        <v>26000000</v>
      </c>
      <c r="G68" s="9">
        <v>26000000</v>
      </c>
      <c r="H68" s="3">
        <v>43755</v>
      </c>
      <c r="I68" s="152">
        <v>43790</v>
      </c>
      <c r="J68" s="9">
        <v>26000000</v>
      </c>
      <c r="K68" s="152">
        <v>43935</v>
      </c>
      <c r="L68" s="289">
        <v>26000000</v>
      </c>
      <c r="M68" s="9">
        <f t="shared" si="14"/>
        <v>0</v>
      </c>
      <c r="N68" s="152">
        <v>43929</v>
      </c>
      <c r="O68" s="200"/>
      <c r="T68" s="448">
        <f t="shared" si="12"/>
        <v>0</v>
      </c>
    </row>
    <row r="69" spans="1:20">
      <c r="A69" s="43">
        <v>5093</v>
      </c>
      <c r="B69" s="43" t="s">
        <v>77</v>
      </c>
      <c r="C69" s="148" t="s">
        <v>310</v>
      </c>
      <c r="D69" s="148" t="s">
        <v>94</v>
      </c>
      <c r="E69" s="148" t="s">
        <v>312</v>
      </c>
      <c r="F69" s="9">
        <v>45000000</v>
      </c>
      <c r="G69" s="9">
        <v>45000000</v>
      </c>
      <c r="H69" s="3">
        <v>43755</v>
      </c>
      <c r="I69" s="152">
        <v>43790</v>
      </c>
      <c r="J69" s="9">
        <v>45000000</v>
      </c>
      <c r="K69" s="152">
        <v>44925</v>
      </c>
      <c r="L69" s="289">
        <v>0</v>
      </c>
      <c r="M69" s="9">
        <f t="shared" ref="M69:M74" si="15">J69-L69</f>
        <v>45000000</v>
      </c>
      <c r="N69" s="152">
        <v>43981</v>
      </c>
      <c r="O69" s="210"/>
      <c r="T69" s="448">
        <f t="shared" si="12"/>
        <v>45000000</v>
      </c>
    </row>
    <row r="70" spans="1:20">
      <c r="A70" s="43">
        <v>5094</v>
      </c>
      <c r="B70" s="43" t="s">
        <v>77</v>
      </c>
      <c r="C70" s="148" t="s">
        <v>175</v>
      </c>
      <c r="D70" s="148" t="s">
        <v>350</v>
      </c>
      <c r="E70" s="148" t="s">
        <v>176</v>
      </c>
      <c r="F70" s="9">
        <v>15000000</v>
      </c>
      <c r="G70" s="9">
        <v>15000000</v>
      </c>
      <c r="H70" s="3">
        <v>43755</v>
      </c>
      <c r="I70" s="152">
        <v>43790</v>
      </c>
      <c r="J70" s="9">
        <v>15000000</v>
      </c>
      <c r="K70" s="152">
        <v>44925</v>
      </c>
      <c r="L70" s="289">
        <v>15000000</v>
      </c>
      <c r="M70" s="9">
        <f t="shared" si="15"/>
        <v>0</v>
      </c>
      <c r="N70" s="152">
        <v>44002</v>
      </c>
      <c r="O70" s="43" t="s">
        <v>787</v>
      </c>
      <c r="T70" s="448">
        <f t="shared" si="12"/>
        <v>0</v>
      </c>
    </row>
    <row r="71" spans="1:20">
      <c r="A71" s="43">
        <v>5095</v>
      </c>
      <c r="B71" s="43" t="s">
        <v>77</v>
      </c>
      <c r="C71" s="148" t="s">
        <v>175</v>
      </c>
      <c r="D71" s="148" t="s">
        <v>351</v>
      </c>
      <c r="E71" s="148" t="s">
        <v>176</v>
      </c>
      <c r="F71" s="9">
        <v>15000000</v>
      </c>
      <c r="G71" s="9">
        <v>15000000</v>
      </c>
      <c r="H71" s="3">
        <v>43755</v>
      </c>
      <c r="I71" s="152">
        <v>43790</v>
      </c>
      <c r="J71" s="9">
        <v>15000000</v>
      </c>
      <c r="K71" s="152">
        <v>44925</v>
      </c>
      <c r="L71" s="289">
        <v>9000000</v>
      </c>
      <c r="M71" s="9">
        <f t="shared" si="15"/>
        <v>6000000</v>
      </c>
      <c r="N71" s="152">
        <v>44002</v>
      </c>
      <c r="O71" s="43" t="s">
        <v>788</v>
      </c>
      <c r="T71" s="448">
        <f t="shared" si="12"/>
        <v>6000000</v>
      </c>
    </row>
    <row r="72" spans="1:20" s="455" customFormat="1">
      <c r="A72" s="456">
        <v>5096</v>
      </c>
      <c r="B72" s="456" t="s">
        <v>77</v>
      </c>
      <c r="C72" s="457" t="s">
        <v>225</v>
      </c>
      <c r="D72" s="457" t="s">
        <v>94</v>
      </c>
      <c r="E72" s="457" t="s">
        <v>226</v>
      </c>
      <c r="F72" s="458">
        <v>35000000</v>
      </c>
      <c r="G72" s="458">
        <v>35000000</v>
      </c>
      <c r="H72" s="459">
        <v>43761</v>
      </c>
      <c r="I72" s="460">
        <v>43796</v>
      </c>
      <c r="J72" s="458">
        <v>0</v>
      </c>
      <c r="K72" s="460">
        <v>44925</v>
      </c>
      <c r="L72" s="473">
        <v>0</v>
      </c>
      <c r="M72" s="458">
        <f t="shared" si="15"/>
        <v>0</v>
      </c>
      <c r="N72" s="460">
        <v>43910</v>
      </c>
      <c r="O72" s="455" t="s">
        <v>726</v>
      </c>
      <c r="T72" s="448">
        <f t="shared" si="12"/>
        <v>0</v>
      </c>
    </row>
    <row r="73" spans="1:20" s="455" customFormat="1">
      <c r="A73" s="456">
        <v>5097</v>
      </c>
      <c r="B73" s="456" t="s">
        <v>77</v>
      </c>
      <c r="C73" s="457" t="s">
        <v>98</v>
      </c>
      <c r="D73" s="457" t="s">
        <v>376</v>
      </c>
      <c r="E73" s="457" t="s">
        <v>377</v>
      </c>
      <c r="F73" s="458">
        <v>38800000</v>
      </c>
      <c r="G73" s="458">
        <v>38800000</v>
      </c>
      <c r="H73" s="459">
        <v>43761</v>
      </c>
      <c r="I73" s="460">
        <v>43796</v>
      </c>
      <c r="J73" s="458">
        <v>0</v>
      </c>
      <c r="K73" s="460">
        <v>43941</v>
      </c>
      <c r="L73" s="473">
        <v>0</v>
      </c>
      <c r="M73" s="458">
        <f t="shared" si="15"/>
        <v>0</v>
      </c>
      <c r="N73" s="460">
        <v>43861</v>
      </c>
      <c r="O73" s="455" t="s">
        <v>673</v>
      </c>
      <c r="T73" s="448">
        <f t="shared" si="12"/>
        <v>0</v>
      </c>
    </row>
    <row r="74" spans="1:20" s="455" customFormat="1">
      <c r="A74" s="456">
        <v>5099</v>
      </c>
      <c r="B74" s="456" t="s">
        <v>77</v>
      </c>
      <c r="C74" s="457" t="s">
        <v>164</v>
      </c>
      <c r="D74" s="457" t="s">
        <v>381</v>
      </c>
      <c r="E74" s="457" t="s">
        <v>80</v>
      </c>
      <c r="F74" s="458">
        <v>35000000</v>
      </c>
      <c r="G74" s="458">
        <v>35000000</v>
      </c>
      <c r="H74" s="459">
        <v>43783</v>
      </c>
      <c r="I74" s="460">
        <v>43818</v>
      </c>
      <c r="J74" s="458">
        <v>0</v>
      </c>
      <c r="K74" s="460">
        <v>43963</v>
      </c>
      <c r="L74" s="473">
        <v>0</v>
      </c>
      <c r="M74" s="458">
        <f t="shared" si="15"/>
        <v>0</v>
      </c>
      <c r="N74" s="460">
        <v>43811</v>
      </c>
      <c r="O74" s="455" t="s">
        <v>726</v>
      </c>
      <c r="T74" s="448">
        <f t="shared" si="12"/>
        <v>0</v>
      </c>
    </row>
    <row r="75" spans="1:20" s="186" customFormat="1">
      <c r="A75" s="13"/>
      <c r="B75" s="13"/>
      <c r="C75" s="13"/>
      <c r="D75" s="36"/>
      <c r="E75" s="36"/>
      <c r="F75" s="289"/>
      <c r="G75" s="124"/>
      <c r="H75" s="7"/>
      <c r="I75" s="184"/>
      <c r="J75" s="124"/>
      <c r="K75" s="184"/>
      <c r="L75" s="32"/>
      <c r="M75" s="124"/>
      <c r="N75" s="184"/>
      <c r="T75" s="62"/>
    </row>
    <row r="76" spans="1:20">
      <c r="A76" s="5"/>
      <c r="B76" s="5"/>
      <c r="C76" s="5"/>
      <c r="D76" s="26"/>
      <c r="E76" s="26"/>
      <c r="F76" s="352"/>
      <c r="G76" s="71"/>
      <c r="H76" s="3"/>
      <c r="I76" s="3"/>
      <c r="J76" s="77">
        <f>SUM(J50:J74)</f>
        <v>727500000</v>
      </c>
      <c r="K76" s="7"/>
      <c r="L76" s="77">
        <f t="shared" ref="L76:M76" si="16">SUM(L50:L74)</f>
        <v>618000000</v>
      </c>
      <c r="M76" s="77">
        <f t="shared" si="16"/>
        <v>109500000</v>
      </c>
      <c r="N76" s="152"/>
      <c r="T76" s="77">
        <f>SUM(T50:T74)</f>
        <v>199621957.06999999</v>
      </c>
    </row>
    <row r="77" spans="1:20">
      <c r="I77" s="198"/>
      <c r="N77" s="152"/>
    </row>
    <row r="78" spans="1:20">
      <c r="K78" s="200"/>
    </row>
    <row r="79" spans="1:20" ht="12.75" thickBot="1">
      <c r="J79" s="350">
        <f>G20+J47+J76</f>
        <v>2403738397.4299998</v>
      </c>
      <c r="M79" s="350">
        <f>G20+M47+M76</f>
        <v>984651500.47999978</v>
      </c>
      <c r="O79" s="265"/>
      <c r="P79" s="265"/>
      <c r="Q79" s="265"/>
      <c r="R79" s="265"/>
      <c r="T79" s="347">
        <f>T20+T47+T76</f>
        <v>1059313457.5499997</v>
      </c>
    </row>
    <row r="80" spans="1:20" ht="12.75" thickTop="1">
      <c r="M80" s="198"/>
      <c r="O80" s="193"/>
    </row>
    <row r="81" spans="8:15">
      <c r="J81" s="198"/>
      <c r="O81" s="198"/>
    </row>
    <row r="82" spans="8:15">
      <c r="H82" s="200"/>
      <c r="J82" s="198"/>
      <c r="L82" s="193"/>
    </row>
    <row r="83" spans="8:15">
      <c r="H83" s="200"/>
      <c r="M83" s="198"/>
    </row>
    <row r="84" spans="8:15">
      <c r="L84" s="193"/>
    </row>
    <row r="85" spans="8:15">
      <c r="L85" s="506"/>
    </row>
    <row r="86" spans="8:15">
      <c r="L86" s="198"/>
    </row>
    <row r="88" spans="8:15">
      <c r="L88" s="198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Y107"/>
  <sheetViews>
    <sheetView workbookViewId="0">
      <pane xSplit="1" ySplit="2" topLeftCell="B3" activePane="bottomRight" state="frozen"/>
      <selection activeCell="M46" sqref="M46"/>
      <selection pane="topRight" activeCell="M46" sqref="M46"/>
      <selection pane="bottomLeft" activeCell="M46" sqref="M46"/>
      <selection pane="bottomRight" activeCell="B14" sqref="B14"/>
    </sheetView>
  </sheetViews>
  <sheetFormatPr defaultColWidth="9" defaultRowHeight="12"/>
  <cols>
    <col min="1" max="1" width="24" bestFit="1" customWidth="1"/>
    <col min="2" max="5" width="24" customWidth="1"/>
    <col min="6" max="6" width="18" customWidth="1"/>
    <col min="7" max="7" width="15.140625" bestFit="1" customWidth="1"/>
    <col min="8" max="8" width="15.140625" customWidth="1"/>
    <col min="9" max="10" width="15.5703125" bestFit="1" customWidth="1"/>
    <col min="11" max="11" width="15.7109375" customWidth="1"/>
    <col min="12" max="13" width="15.140625" bestFit="1" customWidth="1"/>
    <col min="14" max="16" width="17.42578125" bestFit="1" customWidth="1"/>
    <col min="17" max="23" width="15.140625" bestFit="1" customWidth="1"/>
    <col min="24" max="25" width="12.85546875" bestFit="1" customWidth="1"/>
  </cols>
  <sheetData>
    <row r="1" spans="1:25">
      <c r="B1" s="5">
        <v>2024</v>
      </c>
      <c r="C1" s="5">
        <v>2023</v>
      </c>
      <c r="D1" s="5">
        <v>2022</v>
      </c>
      <c r="E1" s="5">
        <v>2021</v>
      </c>
      <c r="F1" s="5">
        <v>2020</v>
      </c>
      <c r="G1" s="5">
        <v>2019</v>
      </c>
      <c r="H1" s="5">
        <v>2018</v>
      </c>
      <c r="I1" s="5">
        <v>2017</v>
      </c>
      <c r="J1" s="5">
        <v>2016</v>
      </c>
      <c r="K1" s="5">
        <v>2015</v>
      </c>
      <c r="L1" s="5">
        <v>2014</v>
      </c>
      <c r="M1" s="5">
        <v>2013</v>
      </c>
      <c r="N1" s="5">
        <v>2012</v>
      </c>
      <c r="O1" s="5">
        <v>2011</v>
      </c>
      <c r="P1" s="5">
        <v>2010</v>
      </c>
      <c r="Q1" s="212">
        <v>2009</v>
      </c>
      <c r="R1" s="212">
        <v>2008</v>
      </c>
      <c r="S1" s="212">
        <v>2007</v>
      </c>
      <c r="T1" s="212">
        <v>2006</v>
      </c>
      <c r="U1" s="212">
        <v>2005</v>
      </c>
      <c r="V1" s="212">
        <v>2004</v>
      </c>
      <c r="W1" s="212">
        <v>2003</v>
      </c>
      <c r="X1" s="212" t="s">
        <v>129</v>
      </c>
      <c r="Y1" s="212" t="s">
        <v>130</v>
      </c>
    </row>
    <row r="2" spans="1:25" ht="12.75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213" t="s">
        <v>99</v>
      </c>
      <c r="R2" s="213" t="s">
        <v>99</v>
      </c>
      <c r="S2" s="69" t="s">
        <v>99</v>
      </c>
      <c r="T2" s="213" t="s">
        <v>99</v>
      </c>
      <c r="U2" s="213" t="s">
        <v>99</v>
      </c>
      <c r="V2" s="213" t="s">
        <v>99</v>
      </c>
      <c r="W2" s="213" t="s">
        <v>99</v>
      </c>
    </row>
    <row r="3" spans="1:25">
      <c r="A3" s="214" t="s">
        <v>100</v>
      </c>
      <c r="B3" s="215">
        <f>Totals!B8</f>
        <v>3812912625</v>
      </c>
      <c r="C3" s="215">
        <v>3603548640</v>
      </c>
      <c r="D3" s="215">
        <v>3248073510</v>
      </c>
      <c r="E3" s="215">
        <v>3229683490</v>
      </c>
      <c r="F3" s="215">
        <v>3044567505</v>
      </c>
      <c r="G3" s="215">
        <v>3013693725</v>
      </c>
      <c r="H3" s="215">
        <v>2971982580</v>
      </c>
      <c r="I3" s="215">
        <v>2786259600</v>
      </c>
      <c r="J3" s="216">
        <v>2746911400</v>
      </c>
      <c r="K3" s="216">
        <v>2695695800</v>
      </c>
      <c r="L3" s="217">
        <v>2644819300</v>
      </c>
      <c r="M3" s="216">
        <v>2475624285</v>
      </c>
      <c r="N3" s="218">
        <v>2439094695</v>
      </c>
      <c r="O3" s="218">
        <v>2388828295</v>
      </c>
      <c r="P3" s="219">
        <v>2230407180</v>
      </c>
      <c r="Q3" s="215">
        <v>2189427660</v>
      </c>
      <c r="R3" s="215">
        <v>2031872300</v>
      </c>
      <c r="S3" s="220">
        <v>1998161555</v>
      </c>
      <c r="T3" s="129">
        <v>1828797440</v>
      </c>
      <c r="U3" s="221">
        <v>1799201760</v>
      </c>
      <c r="V3" s="221">
        <v>1769480721</v>
      </c>
      <c r="W3" s="222">
        <v>1633491975</v>
      </c>
      <c r="X3" s="129">
        <v>1599376350</v>
      </c>
      <c r="Y3" s="223">
        <v>1303238750</v>
      </c>
    </row>
    <row r="4" spans="1:25">
      <c r="A4" s="224" t="s">
        <v>101</v>
      </c>
      <c r="B4" s="96">
        <f>SUM(C48:C51)</f>
        <v>2792224621.5299997</v>
      </c>
      <c r="C4" s="96">
        <v>2700914810.6500001</v>
      </c>
      <c r="D4" s="96">
        <v>2686322327.4000001</v>
      </c>
      <c r="E4" s="96">
        <v>2978059429.2000003</v>
      </c>
      <c r="F4" s="96">
        <v>3375990905.0444999</v>
      </c>
      <c r="G4" s="96">
        <v>3859636297.79</v>
      </c>
      <c r="H4" s="96">
        <v>3309406951.9200001</v>
      </c>
      <c r="I4" s="96">
        <v>4848200159.04</v>
      </c>
      <c r="J4" s="96">
        <v>3814503629.1999998</v>
      </c>
      <c r="K4" s="267">
        <v>3765710513</v>
      </c>
      <c r="L4" s="96">
        <v>2632133224.8000002</v>
      </c>
      <c r="M4" s="96">
        <v>2242234046.5999999</v>
      </c>
      <c r="N4" s="268">
        <v>2951305638.4499998</v>
      </c>
      <c r="O4" s="268">
        <v>3300803953.3000002</v>
      </c>
      <c r="P4" s="269">
        <v>3176726243.5500002</v>
      </c>
      <c r="Q4" s="96">
        <v>2279707954.3499999</v>
      </c>
      <c r="R4" s="96">
        <v>729155910.35000002</v>
      </c>
      <c r="S4" s="149">
        <v>707913757.5</v>
      </c>
      <c r="T4" s="149">
        <v>940721729</v>
      </c>
      <c r="U4" s="149">
        <v>799457756.54999995</v>
      </c>
      <c r="V4" s="165">
        <v>385204031</v>
      </c>
      <c r="W4" s="225">
        <v>192694519</v>
      </c>
      <c r="X4" s="76">
        <v>63200000</v>
      </c>
      <c r="Y4" s="226">
        <v>19066155</v>
      </c>
    </row>
    <row r="5" spans="1:25" ht="12.75" thickBot="1">
      <c r="A5" s="227" t="s">
        <v>102</v>
      </c>
      <c r="B5" s="228">
        <f>B3+B4</f>
        <v>6605137246.5299997</v>
      </c>
      <c r="C5" s="228">
        <f>C3+C4</f>
        <v>6304463450.6499996</v>
      </c>
      <c r="D5" s="228">
        <v>5934395837.3999996</v>
      </c>
      <c r="E5" s="228">
        <v>6207742919.2000008</v>
      </c>
      <c r="F5" s="228">
        <v>6420558410.0445004</v>
      </c>
      <c r="G5" s="228">
        <v>6873330022.79</v>
      </c>
      <c r="H5" s="228">
        <v>6281389531.9200001</v>
      </c>
      <c r="I5" s="228">
        <v>7634459759.04</v>
      </c>
      <c r="J5" s="229">
        <v>6561415029.1999998</v>
      </c>
      <c r="K5" s="230">
        <v>6461406313</v>
      </c>
      <c r="L5" s="230">
        <v>5276952524.8000002</v>
      </c>
      <c r="M5" s="230">
        <v>4717858331.6000004</v>
      </c>
      <c r="N5" s="231">
        <v>5390400333.4499998</v>
      </c>
      <c r="O5" s="231">
        <v>5689632248.3000002</v>
      </c>
      <c r="P5" s="231">
        <v>5407133423.5500002</v>
      </c>
      <c r="Q5" s="232">
        <v>4469135614.3500004</v>
      </c>
      <c r="R5" s="233">
        <v>2761028210.3499999</v>
      </c>
      <c r="S5" s="234">
        <v>2706075312.5</v>
      </c>
      <c r="T5" s="234">
        <v>2769519169</v>
      </c>
      <c r="U5" s="234">
        <v>2598659516.5500002</v>
      </c>
      <c r="V5" s="234">
        <v>2154684752</v>
      </c>
      <c r="W5" s="235">
        <v>1826186494</v>
      </c>
      <c r="X5" s="234">
        <v>1662576350</v>
      </c>
      <c r="Y5" s="235">
        <v>1322304905</v>
      </c>
    </row>
    <row r="6" spans="1:25">
      <c r="A6" s="556"/>
      <c r="B6" s="557"/>
      <c r="C6" s="557"/>
      <c r="D6" s="441"/>
      <c r="E6" s="441"/>
      <c r="F6" s="403"/>
      <c r="G6" s="58"/>
      <c r="H6" s="58"/>
      <c r="I6" s="58"/>
      <c r="J6" s="58"/>
      <c r="K6" s="236"/>
      <c r="L6" s="403"/>
      <c r="M6" s="237"/>
      <c r="N6" s="58"/>
      <c r="O6" s="58"/>
      <c r="P6" s="58"/>
      <c r="Q6" s="58"/>
      <c r="R6" s="58"/>
      <c r="S6" s="96"/>
      <c r="T6" s="96"/>
      <c r="U6" s="165"/>
      <c r="V6" s="165"/>
      <c r="W6" s="225"/>
      <c r="X6" s="76"/>
      <c r="Y6" s="238"/>
    </row>
    <row r="7" spans="1:25" ht="12.75" thickBot="1">
      <c r="A7" s="227"/>
      <c r="B7" s="549"/>
      <c r="C7" s="549"/>
      <c r="D7" s="549"/>
      <c r="E7" s="549"/>
      <c r="F7" s="549"/>
      <c r="G7" s="549"/>
      <c r="H7" s="549"/>
      <c r="I7" s="549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76"/>
      <c r="Y7" s="238"/>
    </row>
    <row r="8" spans="1:25">
      <c r="A8" s="224" t="s">
        <v>103</v>
      </c>
      <c r="B8" s="96">
        <v>0</v>
      </c>
      <c r="C8" s="96">
        <v>0</v>
      </c>
      <c r="D8" s="96">
        <v>0</v>
      </c>
      <c r="E8" s="96">
        <v>0</v>
      </c>
      <c r="F8" s="96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10842500</v>
      </c>
      <c r="P8" s="96">
        <v>0</v>
      </c>
      <c r="Q8" s="269"/>
      <c r="R8" s="149">
        <v>0</v>
      </c>
      <c r="S8" s="149">
        <v>491236593.5</v>
      </c>
      <c r="T8" s="149">
        <v>467057690.5</v>
      </c>
      <c r="U8" s="165">
        <v>75815311</v>
      </c>
      <c r="V8" s="165">
        <v>303875370</v>
      </c>
      <c r="W8" s="225">
        <v>166861717</v>
      </c>
      <c r="X8" s="76">
        <v>453396662</v>
      </c>
      <c r="Y8" s="238">
        <v>418475905</v>
      </c>
    </row>
    <row r="9" spans="1:25">
      <c r="A9" s="239" t="s">
        <v>104</v>
      </c>
      <c r="B9" s="149">
        <f>'2022 CF'!L22+'2023 CF'!L30+'2023 CF'!L31+'2023 CF'!L32+'2023 CF'!L33+'2023 CF'!L35+'2023 CF'!L36+'2023 CF'!L37+'2023 CF'!L38+'2023 CF'!L39+59999371.6</f>
        <v>376885778.55000007</v>
      </c>
      <c r="C9" s="149">
        <v>881763923.6500001</v>
      </c>
      <c r="D9" s="149">
        <v>760448009.70000005</v>
      </c>
      <c r="E9" s="149">
        <v>264771836</v>
      </c>
      <c r="F9" s="149">
        <v>184997155</v>
      </c>
      <c r="G9" s="149">
        <v>0</v>
      </c>
      <c r="H9" s="149">
        <v>0</v>
      </c>
      <c r="I9" s="149">
        <v>0</v>
      </c>
      <c r="J9" s="149">
        <v>31510000</v>
      </c>
      <c r="K9" s="149">
        <v>19870000</v>
      </c>
      <c r="L9" s="149">
        <v>0</v>
      </c>
      <c r="M9" s="149">
        <v>0</v>
      </c>
      <c r="N9" s="149">
        <v>78070000</v>
      </c>
      <c r="O9" s="149">
        <v>562402275</v>
      </c>
      <c r="P9" s="149">
        <v>0</v>
      </c>
      <c r="Q9" s="149">
        <v>51276200</v>
      </c>
      <c r="R9" s="149"/>
      <c r="S9" s="149">
        <v>76750929</v>
      </c>
      <c r="T9" s="149">
        <v>34450000</v>
      </c>
      <c r="U9" s="165">
        <v>0</v>
      </c>
      <c r="V9" s="165">
        <v>0</v>
      </c>
      <c r="W9" s="225">
        <v>10450000</v>
      </c>
      <c r="X9" s="76">
        <v>0</v>
      </c>
      <c r="Y9" s="238">
        <v>0</v>
      </c>
    </row>
    <row r="10" spans="1:25">
      <c r="A10" s="239" t="s">
        <v>105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30000000</v>
      </c>
      <c r="R10" s="149"/>
      <c r="S10" s="149"/>
      <c r="T10" s="149"/>
      <c r="U10" s="165"/>
      <c r="V10" s="165"/>
      <c r="W10" s="225"/>
      <c r="X10" s="76"/>
      <c r="Y10" s="238"/>
    </row>
    <row r="11" spans="1:25">
      <c r="A11" s="224" t="s">
        <v>106</v>
      </c>
      <c r="B11" s="96">
        <f>'SC1 MRB'!P9+'SC1 MRB'!P14</f>
        <v>58840720</v>
      </c>
      <c r="C11" s="96">
        <v>24000000</v>
      </c>
      <c r="D11" s="96">
        <v>104750371</v>
      </c>
      <c r="E11" s="96">
        <v>20623602</v>
      </c>
      <c r="F11" s="96">
        <v>0</v>
      </c>
      <c r="G11" s="96">
        <v>10153000</v>
      </c>
      <c r="H11" s="96">
        <v>15000000</v>
      </c>
      <c r="I11" s="96">
        <v>918015268.89999998</v>
      </c>
      <c r="J11" s="96">
        <v>260068279.56</v>
      </c>
      <c r="K11" s="96">
        <v>57500000</v>
      </c>
      <c r="L11" s="267">
        <v>31266000</v>
      </c>
      <c r="M11" s="96">
        <v>335757940</v>
      </c>
      <c r="N11" s="149">
        <v>228831078</v>
      </c>
      <c r="O11" s="149">
        <v>95000000</v>
      </c>
      <c r="P11" s="96">
        <v>66142544</v>
      </c>
      <c r="Q11" s="96">
        <v>54664820</v>
      </c>
      <c r="R11" s="149">
        <v>99000000</v>
      </c>
      <c r="S11" s="149">
        <v>59300014</v>
      </c>
      <c r="T11" s="149">
        <v>104136159</v>
      </c>
      <c r="U11" s="165">
        <v>197530000</v>
      </c>
      <c r="V11" s="165">
        <v>48528775</v>
      </c>
      <c r="W11" s="225">
        <v>94209746</v>
      </c>
      <c r="X11" s="76">
        <v>0</v>
      </c>
      <c r="Y11" s="238">
        <v>0</v>
      </c>
    </row>
    <row r="12" spans="1:25">
      <c r="A12" s="239" t="s">
        <v>104</v>
      </c>
      <c r="B12" s="149">
        <f>'2023 CF'!L44+56214444</f>
        <v>276425155</v>
      </c>
      <c r="C12" s="149">
        <v>487145473.05000001</v>
      </c>
      <c r="D12" s="149">
        <v>452344595</v>
      </c>
      <c r="E12" s="149">
        <v>692865165.5</v>
      </c>
      <c r="F12" s="149">
        <v>1214999246.9245</v>
      </c>
      <c r="G12" s="149">
        <v>1818210608.55</v>
      </c>
      <c r="H12" s="149">
        <v>713413832.36000001</v>
      </c>
      <c r="I12" s="149">
        <v>2111916905.6700001</v>
      </c>
      <c r="J12" s="149">
        <v>50000000</v>
      </c>
      <c r="K12" s="149">
        <v>1224590213</v>
      </c>
      <c r="L12" s="270">
        <v>695266000</v>
      </c>
      <c r="M12" s="149">
        <v>340000000</v>
      </c>
      <c r="N12" s="149">
        <v>455105100</v>
      </c>
      <c r="O12" s="149">
        <v>249003434</v>
      </c>
      <c r="P12" s="149">
        <v>333000000</v>
      </c>
      <c r="Q12" s="149">
        <v>190356000</v>
      </c>
      <c r="R12" s="149">
        <v>35240000</v>
      </c>
      <c r="S12" s="149">
        <v>0</v>
      </c>
      <c r="T12" s="149">
        <v>12629000</v>
      </c>
      <c r="U12" s="165">
        <v>0</v>
      </c>
      <c r="V12" s="165">
        <v>0</v>
      </c>
      <c r="W12" s="225">
        <v>0</v>
      </c>
      <c r="X12" s="76">
        <v>0</v>
      </c>
      <c r="Y12" s="238">
        <v>0</v>
      </c>
    </row>
    <row r="13" spans="1:25">
      <c r="A13" s="239" t="s">
        <v>105</v>
      </c>
      <c r="B13" s="149">
        <v>0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398500000</v>
      </c>
      <c r="Q13" s="149">
        <v>235800000</v>
      </c>
      <c r="R13" s="149"/>
      <c r="S13" s="149"/>
      <c r="T13" s="149"/>
      <c r="U13" s="165"/>
      <c r="V13" s="165"/>
      <c r="W13" s="225"/>
      <c r="X13" s="76"/>
      <c r="Y13" s="238"/>
    </row>
    <row r="14" spans="1:25">
      <c r="A14" s="224" t="s">
        <v>107</v>
      </c>
      <c r="B14" s="96">
        <f>'REGION 1'!N11+'REGION 2'!N9+'REGION 3'!N28+'REGION 4'!N10+'REGION 5'!N10+'REGION 6'!N25+'REGION 7'!N30+'REGION 8'!N9+'REGION 9'!N11+'REGION 10'!N9+'REGION 11'!N9+'REGION 12'!N9+'REGION 13'!N9+'SC4 MF- Local Collapse'!N54+'SC5 OTHER'!N8+'SC5 OTHER'!N11+'SC5 OTHER'!N24+'SC5 OTHER'!N25+'SC5 OTHER'!N28+'SC5 OTHER'!N31+'SC5 OTHER'!N32+'SC5 OTHER'!N43+'SC5 OTHER'!N47+'SC5 OTHER'!N60+'SC5 OTHER'!N63+'SC5 OTHER'!N65+'SC5 OTHER'!N66+'SC5 OTHER'!N71+'SC4 MF- TDHCA'!N15+'SC4 TSAHC'!N13</f>
        <v>854048895.08000004</v>
      </c>
      <c r="C14" s="96">
        <v>934333238.07000005</v>
      </c>
      <c r="D14" s="96">
        <v>1094580971.8899999</v>
      </c>
      <c r="E14" s="96">
        <v>1106663485</v>
      </c>
      <c r="F14" s="64">
        <v>989721000</v>
      </c>
      <c r="G14" s="96">
        <v>381157999</v>
      </c>
      <c r="H14" s="96">
        <v>225577000</v>
      </c>
      <c r="I14" s="96">
        <v>118240400</v>
      </c>
      <c r="J14" s="96">
        <v>225357000</v>
      </c>
      <c r="K14" s="96">
        <v>144676500</v>
      </c>
      <c r="L14" s="267">
        <v>80945000</v>
      </c>
      <c r="M14" s="96">
        <v>72480000</v>
      </c>
      <c r="N14" s="149">
        <v>90325000</v>
      </c>
      <c r="O14" s="149">
        <v>7250000</v>
      </c>
      <c r="P14" s="96">
        <v>5275000</v>
      </c>
      <c r="Q14" s="96">
        <v>0</v>
      </c>
      <c r="R14" s="149">
        <v>38530714</v>
      </c>
      <c r="S14" s="149">
        <v>266479282</v>
      </c>
      <c r="T14" s="149">
        <v>101592000</v>
      </c>
      <c r="U14" s="165">
        <v>108950000</v>
      </c>
      <c r="V14" s="165">
        <v>384700000</v>
      </c>
      <c r="W14" s="226">
        <v>388626000</v>
      </c>
      <c r="X14" s="76">
        <v>365185169</v>
      </c>
      <c r="Y14" s="238">
        <v>319584000</v>
      </c>
    </row>
    <row r="15" spans="1:25">
      <c r="A15" s="239" t="s">
        <v>104</v>
      </c>
      <c r="B15" s="149">
        <f>'2021 CF'!L9+'2021 CF'!L19+'2022 CF'!L28+'2022 CF'!L29+'2022 CF'!L31+'2022 CF'!L32+'2022 CF'!L33+'2023 CF'!L12+'2023 CF'!L14+'2023 CF'!L16+'2023 CF'!L17+'2023 CF'!L50+('2023 CF'!L51-18910000)+'2023 CF'!L52+'2023 CF'!L53+'2023 CF'!L54+'2023 CF'!L55+('2023 CF'!L56-19211957.07)+'2023 CF'!L57+'2023 CF'!L61+'2023 CF'!L62+'2023 CF'!L63+'2023 CF'!L64+'2023 CF'!L65+'2023 CF'!L66+'2023 CF'!L67+'2023 CF'!L68+'2023 CF'!L70+'2023 CF'!L71</f>
        <v>862839093.32999992</v>
      </c>
      <c r="C15" s="149">
        <v>769141541.85000002</v>
      </c>
      <c r="D15" s="149">
        <v>620934090.80999994</v>
      </c>
      <c r="E15" s="149">
        <v>950323728</v>
      </c>
      <c r="F15" s="149">
        <v>606871000</v>
      </c>
      <c r="G15" s="149">
        <v>663385001</v>
      </c>
      <c r="H15" s="149">
        <v>554545900</v>
      </c>
      <c r="I15" s="149">
        <v>482831600</v>
      </c>
      <c r="J15" s="149">
        <v>353473500</v>
      </c>
      <c r="K15" s="149">
        <v>352830000</v>
      </c>
      <c r="L15" s="270">
        <v>116150000</v>
      </c>
      <c r="M15" s="149">
        <v>100725000</v>
      </c>
      <c r="N15" s="149">
        <v>20100000</v>
      </c>
      <c r="O15" s="149">
        <v>62625000</v>
      </c>
      <c r="P15" s="149">
        <v>31050000</v>
      </c>
      <c r="Q15" s="96">
        <v>28690000</v>
      </c>
      <c r="R15" s="149">
        <v>86135000</v>
      </c>
      <c r="S15" s="149">
        <v>101789718</v>
      </c>
      <c r="T15" s="149">
        <v>329745562</v>
      </c>
      <c r="U15" s="165">
        <v>428150000</v>
      </c>
      <c r="V15" s="165">
        <v>97550000</v>
      </c>
      <c r="W15" s="225">
        <v>123550000</v>
      </c>
      <c r="X15" s="165">
        <v>0</v>
      </c>
      <c r="Y15" s="240">
        <v>0</v>
      </c>
    </row>
    <row r="16" spans="1:25">
      <c r="A16" s="239" t="s">
        <v>105</v>
      </c>
      <c r="B16" s="149">
        <v>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15700000</v>
      </c>
      <c r="R16" s="149"/>
      <c r="S16" s="149"/>
      <c r="T16" s="149"/>
      <c r="U16" s="165"/>
      <c r="V16" s="165"/>
      <c r="W16" s="225"/>
      <c r="X16" s="165"/>
      <c r="Y16" s="240"/>
    </row>
    <row r="17" spans="1:25">
      <c r="A17" s="224" t="s">
        <v>108</v>
      </c>
      <c r="B17" s="96"/>
      <c r="C17" s="58"/>
      <c r="D17" s="58"/>
      <c r="E17" s="58"/>
      <c r="F17" s="58"/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96">
        <v>0</v>
      </c>
      <c r="Q17" s="96"/>
      <c r="R17" s="149"/>
      <c r="S17" s="96">
        <v>0</v>
      </c>
      <c r="T17" s="96">
        <v>0</v>
      </c>
      <c r="U17" s="165">
        <v>0</v>
      </c>
      <c r="V17" s="165">
        <v>0</v>
      </c>
      <c r="W17" s="225">
        <v>0</v>
      </c>
      <c r="X17" s="165">
        <v>0</v>
      </c>
      <c r="Y17" s="240">
        <v>0</v>
      </c>
    </row>
    <row r="18" spans="1:25">
      <c r="A18" s="224" t="s">
        <v>3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20000000</v>
      </c>
      <c r="H18" s="149">
        <v>0</v>
      </c>
      <c r="I18" s="75">
        <v>8600000</v>
      </c>
      <c r="J18" s="75">
        <v>10000000</v>
      </c>
      <c r="K18" s="149">
        <v>0</v>
      </c>
      <c r="L18" s="267">
        <v>3650000</v>
      </c>
      <c r="M18" s="96">
        <v>1897830</v>
      </c>
      <c r="N18" s="149">
        <v>10000000</v>
      </c>
      <c r="O18" s="149">
        <v>13300000</v>
      </c>
      <c r="P18" s="96">
        <v>3440000</v>
      </c>
      <c r="Q18" s="96">
        <v>16043250</v>
      </c>
      <c r="R18" s="149">
        <v>40869207</v>
      </c>
      <c r="S18" s="149">
        <v>19402500</v>
      </c>
      <c r="T18" s="96">
        <v>0</v>
      </c>
      <c r="U18" s="165">
        <v>4225000</v>
      </c>
      <c r="V18" s="165">
        <v>10000000</v>
      </c>
      <c r="W18" s="225">
        <v>3700000</v>
      </c>
      <c r="X18" s="165">
        <v>0</v>
      </c>
      <c r="Y18" s="240">
        <v>0</v>
      </c>
    </row>
    <row r="19" spans="1:25">
      <c r="A19" s="239" t="s">
        <v>104</v>
      </c>
      <c r="B19" s="149">
        <v>0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96"/>
      <c r="R19" s="149"/>
      <c r="S19" s="96">
        <v>0</v>
      </c>
      <c r="T19" s="96">
        <v>0</v>
      </c>
      <c r="U19" s="165">
        <v>3000000</v>
      </c>
      <c r="V19" s="165">
        <v>0</v>
      </c>
      <c r="W19" s="225">
        <v>0</v>
      </c>
      <c r="X19" s="165">
        <v>0</v>
      </c>
      <c r="Y19" s="240">
        <v>0</v>
      </c>
    </row>
    <row r="20" spans="1:25">
      <c r="A20" s="224" t="s">
        <v>109</v>
      </c>
      <c r="B20" s="96">
        <f>'SC5 OTHER'!N34</f>
        <v>15000000</v>
      </c>
      <c r="C20" s="96">
        <v>100000000</v>
      </c>
      <c r="D20" s="96">
        <v>75000000</v>
      </c>
      <c r="E20" s="96">
        <v>100000000</v>
      </c>
      <c r="F20" s="96">
        <v>76870000</v>
      </c>
      <c r="G20" s="96">
        <v>75000000</v>
      </c>
      <c r="H20" s="96">
        <v>86430000</v>
      </c>
      <c r="I20" s="75">
        <v>0</v>
      </c>
      <c r="J20" s="75">
        <v>50000000</v>
      </c>
      <c r="K20" s="75">
        <v>53350000</v>
      </c>
      <c r="L20" s="271">
        <v>155360000</v>
      </c>
      <c r="M20" s="75">
        <v>40675827</v>
      </c>
      <c r="N20" s="75">
        <v>361535000</v>
      </c>
      <c r="O20" s="75">
        <v>45000000</v>
      </c>
      <c r="P20" s="96">
        <v>445510316.30000001</v>
      </c>
      <c r="Q20" s="96">
        <v>358800000</v>
      </c>
      <c r="R20" s="149">
        <v>658300000</v>
      </c>
      <c r="S20" s="149">
        <v>475235473</v>
      </c>
      <c r="T20" s="149">
        <v>519550000</v>
      </c>
      <c r="U20" s="165">
        <v>139425000</v>
      </c>
      <c r="V20" s="165">
        <v>189355000</v>
      </c>
      <c r="W20" s="225">
        <v>391476662</v>
      </c>
      <c r="X20" s="76">
        <v>391800000</v>
      </c>
      <c r="Y20" s="238">
        <v>384205000</v>
      </c>
    </row>
    <row r="21" spans="1:25">
      <c r="A21" s="239" t="s">
        <v>104</v>
      </c>
      <c r="B21" s="149">
        <f>'2021 CF'!L27+'2022 CF'!L38</f>
        <v>113000000</v>
      </c>
      <c r="C21" s="149">
        <v>66000000</v>
      </c>
      <c r="D21" s="149">
        <v>0</v>
      </c>
      <c r="E21" s="149">
        <v>0</v>
      </c>
      <c r="F21" s="149">
        <v>94030000</v>
      </c>
      <c r="G21" s="149">
        <v>25000000</v>
      </c>
      <c r="H21" s="149">
        <v>352115000</v>
      </c>
      <c r="I21" s="76">
        <v>0</v>
      </c>
      <c r="J21" s="76">
        <v>252885000</v>
      </c>
      <c r="K21" s="76">
        <v>0</v>
      </c>
      <c r="L21" s="76">
        <v>0</v>
      </c>
      <c r="M21" s="76">
        <v>0</v>
      </c>
      <c r="N21" s="76">
        <v>0</v>
      </c>
      <c r="O21" s="76">
        <v>40200000</v>
      </c>
      <c r="P21" s="149">
        <v>143000000</v>
      </c>
      <c r="Q21" s="96"/>
      <c r="R21" s="149"/>
      <c r="S21" s="149">
        <v>96499998</v>
      </c>
      <c r="T21" s="149">
        <v>205500000</v>
      </c>
      <c r="U21" s="165">
        <v>5200000</v>
      </c>
      <c r="V21" s="165">
        <v>0</v>
      </c>
      <c r="W21" s="225">
        <v>22108338</v>
      </c>
      <c r="X21" s="76">
        <v>0</v>
      </c>
      <c r="Y21" s="238">
        <v>0</v>
      </c>
    </row>
    <row r="22" spans="1:25">
      <c r="A22" s="224" t="s">
        <v>110</v>
      </c>
      <c r="B22" s="96">
        <f>'SC5 OTHER'!N56+'SC5 OTHER'!N61</f>
        <v>142036346.25</v>
      </c>
      <c r="C22" s="96">
        <v>0</v>
      </c>
      <c r="D22" s="96">
        <v>0</v>
      </c>
      <c r="E22" s="96">
        <v>68359729.400000006</v>
      </c>
      <c r="F22" s="96">
        <v>63258647.799999997</v>
      </c>
      <c r="G22" s="64">
        <v>46001315.149999999</v>
      </c>
      <c r="H22" s="76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96">
        <v>85850000</v>
      </c>
      <c r="Q22" s="96">
        <v>0</v>
      </c>
      <c r="R22" s="149">
        <v>58500000</v>
      </c>
      <c r="S22" s="149">
        <v>209759336</v>
      </c>
      <c r="T22" s="149">
        <v>191945000</v>
      </c>
      <c r="U22" s="165">
        <v>598050000</v>
      </c>
      <c r="V22" s="165">
        <v>296200000</v>
      </c>
      <c r="W22" s="225">
        <v>140000000</v>
      </c>
      <c r="X22" s="76">
        <v>139500000</v>
      </c>
      <c r="Y22" s="238">
        <v>136840000</v>
      </c>
    </row>
    <row r="23" spans="1:25">
      <c r="A23" s="239" t="s">
        <v>104</v>
      </c>
      <c r="B23" s="149">
        <v>0</v>
      </c>
      <c r="C23" s="149">
        <v>43375000</v>
      </c>
      <c r="D23" s="149">
        <v>0</v>
      </c>
      <c r="E23" s="149">
        <v>0</v>
      </c>
      <c r="F23" s="149">
        <v>30032428.350000001</v>
      </c>
      <c r="G23" s="241">
        <v>19967571.649999999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149">
        <v>208000000</v>
      </c>
      <c r="Q23" s="96"/>
      <c r="R23" s="149"/>
      <c r="S23" s="149">
        <v>30645664</v>
      </c>
      <c r="T23" s="96">
        <v>0</v>
      </c>
      <c r="U23" s="165">
        <v>58000000</v>
      </c>
      <c r="V23" s="165">
        <v>0</v>
      </c>
      <c r="W23" s="225">
        <v>0</v>
      </c>
      <c r="X23" s="76">
        <v>0</v>
      </c>
      <c r="Y23" s="238">
        <v>0</v>
      </c>
    </row>
    <row r="24" spans="1:25">
      <c r="A24" s="224" t="s">
        <v>111</v>
      </c>
      <c r="B24" s="96">
        <f>'SC2 State Voted'!N9</f>
        <v>111958628.8</v>
      </c>
      <c r="C24" s="96">
        <v>141477004.5</v>
      </c>
      <c r="D24" s="96">
        <v>100422987.95</v>
      </c>
      <c r="E24" s="96">
        <v>177456005.59999999</v>
      </c>
      <c r="F24" s="269">
        <v>69990168.900000006</v>
      </c>
      <c r="G24" s="76">
        <v>0</v>
      </c>
      <c r="H24" s="76">
        <v>0</v>
      </c>
      <c r="I24" s="75">
        <v>170111691.94999999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74994999.700000003</v>
      </c>
      <c r="P24" s="96">
        <v>95279609.400000006</v>
      </c>
      <c r="Q24" s="96">
        <v>24999100.800000001</v>
      </c>
      <c r="R24" s="149">
        <v>74997184.099999994</v>
      </c>
      <c r="S24" s="149">
        <v>99999895.150000006</v>
      </c>
      <c r="T24" s="96">
        <v>0</v>
      </c>
      <c r="U24" s="165">
        <v>0</v>
      </c>
      <c r="V24" s="165">
        <v>25000000</v>
      </c>
      <c r="W24" s="225">
        <v>100000000</v>
      </c>
      <c r="X24" s="76">
        <v>120000000</v>
      </c>
      <c r="Y24" s="238" t="s">
        <v>131</v>
      </c>
    </row>
    <row r="25" spans="1:25">
      <c r="A25" s="239" t="s">
        <v>104</v>
      </c>
      <c r="B25" s="149">
        <v>0</v>
      </c>
      <c r="C25" s="149">
        <v>0</v>
      </c>
      <c r="D25" s="149">
        <v>0</v>
      </c>
      <c r="E25" s="149">
        <v>0</v>
      </c>
      <c r="F25" s="149">
        <v>29724277</v>
      </c>
      <c r="G25" s="149">
        <v>170275723</v>
      </c>
      <c r="H25" s="76">
        <v>0</v>
      </c>
      <c r="I25" s="76">
        <v>501939.59999999404</v>
      </c>
      <c r="J25" s="76">
        <v>179995089.59999999</v>
      </c>
      <c r="K25" s="76">
        <v>169502970.80000001</v>
      </c>
      <c r="L25" s="8">
        <v>81144804</v>
      </c>
      <c r="M25" s="76">
        <v>143854150.80000001</v>
      </c>
      <c r="N25" s="76">
        <v>99995837.400000006</v>
      </c>
      <c r="O25" s="76">
        <v>50000000</v>
      </c>
      <c r="P25" s="149">
        <v>144649500</v>
      </c>
      <c r="Q25" s="149">
        <v>50000000</v>
      </c>
      <c r="R25" s="149">
        <v>0</v>
      </c>
      <c r="S25" s="149">
        <v>0</v>
      </c>
      <c r="T25" s="96">
        <v>0</v>
      </c>
      <c r="U25" s="165">
        <v>0</v>
      </c>
      <c r="V25" s="165">
        <v>0</v>
      </c>
      <c r="W25" s="225">
        <v>0</v>
      </c>
      <c r="X25" s="76"/>
      <c r="Y25" s="238"/>
    </row>
    <row r="26" spans="1:25">
      <c r="A26" s="224" t="s">
        <v>112</v>
      </c>
      <c r="B26" s="96">
        <v>0</v>
      </c>
      <c r="C26" s="96">
        <v>0</v>
      </c>
      <c r="D26" s="96">
        <v>0</v>
      </c>
      <c r="E26" s="96">
        <v>0</v>
      </c>
      <c r="F26" s="149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5">
        <v>742041688</v>
      </c>
      <c r="N26" s="75">
        <v>796507617.5999999</v>
      </c>
      <c r="O26" s="75">
        <v>1107266939</v>
      </c>
      <c r="P26" s="149">
        <v>0.30000019073486328</v>
      </c>
      <c r="Q26" s="96"/>
      <c r="R26" s="149">
        <v>18660702.037717462</v>
      </c>
      <c r="S26" s="149">
        <v>0</v>
      </c>
      <c r="T26" s="96">
        <v>0</v>
      </c>
      <c r="U26" s="165">
        <v>0</v>
      </c>
      <c r="V26" s="165">
        <v>0</v>
      </c>
      <c r="W26" s="225">
        <v>0</v>
      </c>
      <c r="X26" s="76">
        <v>0</v>
      </c>
      <c r="Y26" s="238">
        <v>0</v>
      </c>
    </row>
    <row r="27" spans="1:25">
      <c r="A27" s="224" t="s">
        <v>113</v>
      </c>
      <c r="B27" s="96">
        <f>'2021 CF'!M30</f>
        <v>7194975.3899999987</v>
      </c>
      <c r="C27" s="96">
        <v>65002648</v>
      </c>
      <c r="D27" s="96">
        <v>25000000.400000006</v>
      </c>
      <c r="E27" s="96">
        <v>140357040</v>
      </c>
      <c r="F27" s="96">
        <v>82005055.920000136</v>
      </c>
      <c r="G27" s="126">
        <v>268187900</v>
      </c>
      <c r="H27" s="126">
        <v>474671500</v>
      </c>
      <c r="I27" s="75">
        <v>514835000</v>
      </c>
      <c r="J27" s="124">
        <v>299926000</v>
      </c>
      <c r="K27" s="124">
        <v>622583000</v>
      </c>
      <c r="L27" s="271">
        <v>347460208</v>
      </c>
      <c r="M27" s="76">
        <v>308292671</v>
      </c>
      <c r="N27" s="75">
        <v>853943988</v>
      </c>
      <c r="O27" s="75">
        <v>520447605</v>
      </c>
      <c r="P27" s="96">
        <v>146632500.35000002</v>
      </c>
      <c r="Q27" s="96">
        <v>236080000</v>
      </c>
      <c r="R27" s="96">
        <v>101327449</v>
      </c>
      <c r="S27" s="149">
        <v>49580000</v>
      </c>
      <c r="T27" s="149">
        <v>95000000</v>
      </c>
      <c r="U27" s="165">
        <v>39592476.549999997</v>
      </c>
      <c r="V27" s="165">
        <v>17850</v>
      </c>
      <c r="W27" s="225">
        <v>0</v>
      </c>
      <c r="X27" s="165">
        <v>0</v>
      </c>
      <c r="Y27" s="238"/>
    </row>
    <row r="28" spans="1:25">
      <c r="A28" s="242" t="s">
        <v>114</v>
      </c>
      <c r="B28" s="1"/>
      <c r="C28" s="1"/>
      <c r="D28" s="1"/>
      <c r="E28" s="1"/>
      <c r="F28" s="1"/>
      <c r="G28" s="1"/>
      <c r="H28" s="1"/>
      <c r="I28" s="76"/>
      <c r="J28" s="1"/>
      <c r="K28" s="1"/>
      <c r="L28" s="1"/>
      <c r="M28" s="1"/>
      <c r="N28" s="1"/>
      <c r="O28" s="1"/>
      <c r="P28" s="76"/>
      <c r="Q28" s="251"/>
      <c r="R28" s="58"/>
      <c r="S28" s="96"/>
      <c r="T28" s="96"/>
      <c r="U28" s="243"/>
      <c r="V28" s="165">
        <v>39677181.549999997</v>
      </c>
      <c r="W28" s="225"/>
      <c r="X28" s="165"/>
      <c r="Y28" s="238"/>
    </row>
    <row r="29" spans="1:25">
      <c r="A29" s="242" t="s">
        <v>115</v>
      </c>
      <c r="B29" s="1"/>
      <c r="C29" s="1"/>
      <c r="D29" s="76"/>
      <c r="E29" s="76"/>
      <c r="F29" s="1"/>
      <c r="G29" s="191"/>
      <c r="H29" s="191"/>
      <c r="I29" s="76"/>
      <c r="J29" s="1"/>
      <c r="K29" s="1"/>
      <c r="L29" s="1"/>
      <c r="M29" s="1"/>
      <c r="N29" s="1"/>
      <c r="O29" s="1"/>
      <c r="P29" s="76"/>
      <c r="Q29" s="251"/>
      <c r="R29" s="4"/>
      <c r="S29" s="75"/>
      <c r="T29" s="165"/>
      <c r="U29" s="165">
        <v>95000000</v>
      </c>
      <c r="V29" s="165">
        <v>98000000</v>
      </c>
      <c r="W29" s="225"/>
      <c r="X29" s="165"/>
      <c r="Y29" s="240"/>
    </row>
    <row r="30" spans="1:25">
      <c r="A30" s="242" t="s">
        <v>116</v>
      </c>
      <c r="B30" s="1"/>
      <c r="C30" s="149"/>
      <c r="D30" s="76"/>
      <c r="E30" s="76"/>
      <c r="F30" s="1"/>
      <c r="G30" s="76"/>
      <c r="H30" s="76"/>
      <c r="I30" s="76"/>
      <c r="J30" s="1"/>
      <c r="K30" s="1"/>
      <c r="L30" s="1"/>
      <c r="M30" s="1"/>
      <c r="N30" s="1"/>
      <c r="O30" s="76"/>
      <c r="P30" s="76"/>
      <c r="Q30" s="251"/>
      <c r="R30" s="1"/>
      <c r="S30" s="76"/>
      <c r="T30" s="76">
        <v>104065280</v>
      </c>
      <c r="U30" s="76">
        <v>170515280</v>
      </c>
      <c r="V30" s="76">
        <v>661780575</v>
      </c>
      <c r="W30" s="226"/>
      <c r="X30" s="76"/>
      <c r="Y30" s="238"/>
    </row>
    <row r="31" spans="1:25">
      <c r="A31" s="242" t="s">
        <v>117</v>
      </c>
      <c r="B31" s="1"/>
      <c r="C31" s="1"/>
      <c r="D31" s="1"/>
      <c r="E31" s="1"/>
      <c r="F31" s="1"/>
      <c r="G31" s="76"/>
      <c r="H31" s="76"/>
      <c r="I31" s="76"/>
      <c r="J31" s="1"/>
      <c r="K31" s="1"/>
      <c r="L31" s="1"/>
      <c r="M31" s="1"/>
      <c r="N31" s="1">
        <v>34.166666666666671</v>
      </c>
      <c r="O31" s="76"/>
      <c r="P31" s="76"/>
      <c r="Q31" s="251"/>
      <c r="R31" s="1"/>
      <c r="S31" s="76">
        <v>101327449</v>
      </c>
      <c r="T31" s="76">
        <v>159331887</v>
      </c>
      <c r="U31" s="76">
        <v>675206449</v>
      </c>
      <c r="V31" s="76"/>
      <c r="W31" s="226">
        <v>385204031</v>
      </c>
      <c r="X31" s="76">
        <v>192694519</v>
      </c>
      <c r="Y31" s="238">
        <v>63200000</v>
      </c>
    </row>
    <row r="32" spans="1:25">
      <c r="A32" s="242" t="s">
        <v>118</v>
      </c>
      <c r="B32" s="1"/>
      <c r="C32" s="251"/>
      <c r="D32" s="1"/>
      <c r="E32" s="1"/>
      <c r="F32" s="1"/>
      <c r="G32" s="191"/>
      <c r="H32" s="191"/>
      <c r="I32" s="76"/>
      <c r="J32" s="76"/>
      <c r="K32" s="1"/>
      <c r="L32" s="1"/>
      <c r="M32" s="1"/>
      <c r="N32" s="1"/>
      <c r="O32" s="76"/>
      <c r="P32" s="76"/>
      <c r="Q32" s="251"/>
      <c r="R32" s="76">
        <v>236080000</v>
      </c>
      <c r="S32" s="76">
        <v>251080000</v>
      </c>
      <c r="T32" s="76">
        <v>444516590.5</v>
      </c>
      <c r="U32" s="76"/>
      <c r="V32" s="76"/>
      <c r="W32" s="226"/>
      <c r="X32" s="76"/>
      <c r="Y32" s="238"/>
    </row>
    <row r="33" spans="1:25">
      <c r="A33" s="242" t="s">
        <v>119</v>
      </c>
      <c r="B33" s="1"/>
      <c r="C33" s="251"/>
      <c r="D33" s="1"/>
      <c r="E33" s="1"/>
      <c r="F33" s="1"/>
      <c r="G33" s="1"/>
      <c r="H33" s="1"/>
      <c r="I33" s="76"/>
      <c r="J33" s="1"/>
      <c r="K33" s="1"/>
      <c r="L33" s="1"/>
      <c r="M33" s="1"/>
      <c r="N33" s="1"/>
      <c r="O33" s="76"/>
      <c r="P33" s="76"/>
      <c r="Q33" s="251">
        <v>134538461.35000002</v>
      </c>
      <c r="R33" s="76">
        <v>270613461.35000002</v>
      </c>
      <c r="S33" s="76">
        <v>376748461.35000002</v>
      </c>
      <c r="T33" s="76"/>
      <c r="U33" s="76"/>
      <c r="V33" s="76"/>
      <c r="W33" s="226"/>
      <c r="X33" s="76"/>
      <c r="Y33" s="238"/>
    </row>
    <row r="34" spans="1:25">
      <c r="A34" s="242" t="s">
        <v>120</v>
      </c>
      <c r="B34" s="1"/>
      <c r="C34" s="1"/>
      <c r="D34" s="1"/>
      <c r="E34" s="1"/>
      <c r="F34" s="1"/>
      <c r="G34" s="76"/>
      <c r="H34" s="76"/>
      <c r="I34" s="76"/>
      <c r="J34" s="1"/>
      <c r="K34" s="1"/>
      <c r="L34" s="1"/>
      <c r="M34" s="1"/>
      <c r="N34" s="1"/>
      <c r="O34" s="76"/>
      <c r="P34" s="76">
        <v>548608539</v>
      </c>
      <c r="Q34" s="251">
        <v>858767293</v>
      </c>
      <c r="R34" s="76">
        <v>1043014493</v>
      </c>
      <c r="S34" s="76"/>
      <c r="T34" s="76"/>
      <c r="U34" s="76"/>
      <c r="V34" s="76"/>
      <c r="W34" s="226"/>
      <c r="X34" s="76"/>
      <c r="Y34" s="238"/>
    </row>
    <row r="35" spans="1:25">
      <c r="A35" s="242" t="s">
        <v>121</v>
      </c>
      <c r="B35" s="1"/>
      <c r="C35" s="1"/>
      <c r="D35" s="1"/>
      <c r="E35" s="1"/>
      <c r="F35" s="1"/>
      <c r="G35" s="76"/>
      <c r="H35" s="76"/>
      <c r="I35" s="76"/>
      <c r="J35" s="76"/>
      <c r="K35" s="1"/>
      <c r="L35" s="1"/>
      <c r="M35" s="1"/>
      <c r="N35" s="1"/>
      <c r="O35" s="76">
        <v>862493038</v>
      </c>
      <c r="P35" s="76">
        <v>1223285704</v>
      </c>
      <c r="Q35" s="251"/>
      <c r="R35" s="76"/>
      <c r="S35" s="76"/>
      <c r="T35" s="76"/>
      <c r="U35" s="76"/>
      <c r="V35" s="76"/>
      <c r="W35" s="226"/>
      <c r="X35" s="76"/>
      <c r="Y35" s="238"/>
    </row>
    <row r="36" spans="1:25">
      <c r="A36" s="242" t="s">
        <v>122</v>
      </c>
      <c r="B36" s="1"/>
      <c r="C36" s="1"/>
      <c r="D36" s="1"/>
      <c r="E36" s="1"/>
      <c r="F36" s="1"/>
      <c r="G36" s="1"/>
      <c r="H36" s="1"/>
      <c r="I36" s="76"/>
      <c r="J36" s="1"/>
      <c r="K36" s="1"/>
      <c r="L36" s="1"/>
      <c r="M36" s="1"/>
      <c r="N36" s="1"/>
      <c r="O36" s="76">
        <v>0</v>
      </c>
      <c r="P36" s="76">
        <v>0</v>
      </c>
      <c r="Q36" s="251">
        <v>448500000</v>
      </c>
      <c r="R36" s="76">
        <v>730000000</v>
      </c>
      <c r="S36" s="76"/>
      <c r="T36" s="76"/>
      <c r="U36" s="76"/>
      <c r="V36" s="76"/>
      <c r="W36" s="226"/>
      <c r="X36" s="76"/>
      <c r="Y36" s="238"/>
    </row>
    <row r="37" spans="1:25">
      <c r="A37" s="242" t="s">
        <v>123</v>
      </c>
      <c r="B37" s="1"/>
      <c r="C37" s="1"/>
      <c r="D37" s="1"/>
      <c r="E37" s="1"/>
      <c r="F37" s="1"/>
      <c r="G37" s="1"/>
      <c r="H37" s="1"/>
      <c r="I37" s="76"/>
      <c r="J37" s="1"/>
      <c r="K37" s="1"/>
      <c r="L37" s="251"/>
      <c r="M37" s="251"/>
      <c r="N37" s="251"/>
      <c r="O37" s="76">
        <v>953632600.45000005</v>
      </c>
      <c r="P37" s="76"/>
      <c r="Q37" s="251"/>
      <c r="R37" s="76"/>
      <c r="S37" s="76"/>
      <c r="T37" s="76"/>
      <c r="U37" s="76"/>
      <c r="V37" s="76"/>
      <c r="W37" s="226"/>
      <c r="X37" s="76"/>
      <c r="Y37" s="238"/>
    </row>
    <row r="38" spans="1:25">
      <c r="A38" s="242" t="s">
        <v>124</v>
      </c>
      <c r="B38" s="1"/>
      <c r="C38" s="1"/>
      <c r="D38" s="1"/>
      <c r="E38" s="1"/>
      <c r="F38" s="76"/>
      <c r="G38" s="76">
        <v>2557727688.3000002</v>
      </c>
      <c r="H38" s="1"/>
      <c r="I38" s="76"/>
      <c r="J38" s="76"/>
      <c r="K38" s="1"/>
      <c r="L38" s="76"/>
      <c r="M38" s="76">
        <v>578191224.79999995</v>
      </c>
      <c r="N38" s="251">
        <v>897459162.60000002</v>
      </c>
      <c r="O38" s="76"/>
      <c r="P38" s="76"/>
      <c r="Q38" s="251"/>
      <c r="R38" s="76"/>
      <c r="S38" s="76"/>
      <c r="T38" s="76"/>
      <c r="U38" s="76"/>
      <c r="V38" s="76"/>
      <c r="W38" s="226"/>
      <c r="X38" s="76"/>
      <c r="Y38" s="238"/>
    </row>
    <row r="39" spans="1:25">
      <c r="A39" s="242" t="s">
        <v>125</v>
      </c>
      <c r="B39" s="1"/>
      <c r="C39" s="1"/>
      <c r="D39" s="1"/>
      <c r="E39" s="1"/>
      <c r="F39" s="1"/>
      <c r="G39" s="76"/>
      <c r="H39" s="1"/>
      <c r="I39" s="76"/>
      <c r="L39" s="8">
        <v>640700000</v>
      </c>
      <c r="M39" s="76">
        <v>771171000</v>
      </c>
      <c r="N39" s="251"/>
      <c r="O39" s="76"/>
      <c r="P39" s="76"/>
      <c r="Q39" s="251"/>
      <c r="R39" s="76"/>
      <c r="S39" s="76"/>
      <c r="T39" s="76"/>
      <c r="U39" s="76"/>
      <c r="V39" s="76"/>
      <c r="W39" s="226"/>
      <c r="X39" s="76"/>
      <c r="Y39" s="238"/>
    </row>
    <row r="40" spans="1:25">
      <c r="A40" s="242" t="s">
        <v>126</v>
      </c>
      <c r="B40" s="1"/>
      <c r="C40" s="1"/>
      <c r="D40" s="1"/>
      <c r="E40" s="1"/>
      <c r="F40" s="1"/>
      <c r="G40" s="76">
        <v>862967647.79999995</v>
      </c>
      <c r="H40" s="76"/>
      <c r="I40" s="76"/>
      <c r="J40" s="76"/>
      <c r="K40" s="76">
        <v>299926000</v>
      </c>
      <c r="L40" s="8">
        <v>751412213</v>
      </c>
      <c r="M40" s="76"/>
      <c r="N40" s="251"/>
      <c r="O40" s="76"/>
      <c r="P40" s="76"/>
      <c r="Q40" s="251"/>
      <c r="R40" s="76"/>
      <c r="S40" s="76"/>
      <c r="T40" s="76"/>
      <c r="U40" s="76"/>
      <c r="V40" s="76"/>
      <c r="W40" s="226"/>
      <c r="X40" s="76"/>
      <c r="Y40" s="238"/>
    </row>
    <row r="41" spans="1:25">
      <c r="A41" s="242" t="s">
        <v>127</v>
      </c>
      <c r="B41" s="1"/>
      <c r="C41" s="1"/>
      <c r="D41" s="1"/>
      <c r="E41" s="1"/>
      <c r="F41" s="1"/>
      <c r="G41" s="76"/>
      <c r="H41" s="1"/>
      <c r="I41" s="76"/>
      <c r="J41" s="76">
        <v>792403239.60000002</v>
      </c>
      <c r="K41" s="76">
        <v>1074408329.2</v>
      </c>
      <c r="M41" s="76"/>
      <c r="N41" s="251"/>
      <c r="O41" s="76"/>
      <c r="P41" s="76"/>
      <c r="Q41" s="251"/>
      <c r="R41" s="76"/>
      <c r="S41" s="76"/>
      <c r="T41" s="76"/>
      <c r="U41" s="76"/>
      <c r="V41" s="76"/>
      <c r="W41" s="226"/>
      <c r="X41" s="76"/>
      <c r="Y41" s="238"/>
    </row>
    <row r="42" spans="1:25">
      <c r="A42" s="242" t="s">
        <v>146</v>
      </c>
      <c r="B42" s="1"/>
      <c r="C42" s="1"/>
      <c r="D42" s="1"/>
      <c r="E42" s="1"/>
      <c r="F42" s="1"/>
      <c r="G42" s="1"/>
      <c r="H42" s="1"/>
      <c r="I42" s="76">
        <v>826786500.33000004</v>
      </c>
      <c r="J42" s="76">
        <v>1854310800</v>
      </c>
      <c r="K42" s="9"/>
      <c r="L42" s="8"/>
      <c r="M42" s="76"/>
      <c r="N42" s="251"/>
      <c r="O42" s="76"/>
      <c r="P42" s="76"/>
      <c r="Q42" s="251"/>
      <c r="R42" s="76"/>
      <c r="S42" s="76"/>
      <c r="T42" s="76"/>
      <c r="U42" s="76"/>
      <c r="V42" s="76"/>
      <c r="W42" s="226"/>
      <c r="X42" s="76"/>
      <c r="Y42" s="238"/>
    </row>
    <row r="43" spans="1:25">
      <c r="A43" s="242" t="s">
        <v>148</v>
      </c>
      <c r="B43" s="1"/>
      <c r="C43" s="1"/>
      <c r="D43" s="1"/>
      <c r="E43" s="1"/>
      <c r="F43" s="1"/>
      <c r="G43" s="76"/>
      <c r="H43" s="76">
        <v>356484900</v>
      </c>
      <c r="I43" s="76">
        <v>911328213.44000006</v>
      </c>
      <c r="K43" s="76"/>
      <c r="L43" s="8"/>
      <c r="M43" s="76"/>
      <c r="N43" s="251"/>
      <c r="O43" s="76"/>
      <c r="P43" s="76"/>
      <c r="Q43" s="251"/>
      <c r="R43" s="76"/>
      <c r="S43" s="76"/>
      <c r="T43" s="76"/>
      <c r="U43" s="76"/>
      <c r="V43" s="76"/>
      <c r="W43" s="226"/>
      <c r="X43" s="76"/>
      <c r="Y43" s="238"/>
    </row>
    <row r="44" spans="1:25">
      <c r="A44" s="242" t="s">
        <v>153</v>
      </c>
      <c r="B44" s="1"/>
      <c r="C44" s="1"/>
      <c r="D44" s="1"/>
      <c r="E44" s="1"/>
      <c r="F44" s="76"/>
      <c r="G44" s="76">
        <v>127037484.27000013</v>
      </c>
      <c r="H44" s="76">
        <v>858175818.78999996</v>
      </c>
      <c r="J44" s="76"/>
      <c r="K44" s="76"/>
      <c r="L44" s="8"/>
      <c r="M44" s="76"/>
      <c r="N44" s="251"/>
      <c r="O44" s="76"/>
      <c r="P44" s="76"/>
      <c r="Q44" s="251"/>
      <c r="R44" s="76"/>
      <c r="S44" s="76"/>
      <c r="T44" s="76"/>
      <c r="U44" s="76"/>
      <c r="V44" s="76"/>
      <c r="W44" s="226"/>
      <c r="X44" s="76"/>
      <c r="Y44" s="238"/>
    </row>
    <row r="45" spans="1:25">
      <c r="A45" s="242" t="s">
        <v>165</v>
      </c>
      <c r="B45" s="1"/>
      <c r="C45" s="1"/>
      <c r="D45" s="76"/>
      <c r="E45" s="76"/>
      <c r="F45" s="76">
        <v>295907040</v>
      </c>
      <c r="G45" s="76">
        <v>767572009.92449999</v>
      </c>
      <c r="I45" s="76"/>
      <c r="J45" s="76"/>
      <c r="K45" s="76"/>
      <c r="L45" s="8"/>
      <c r="M45" s="76"/>
      <c r="N45" s="251"/>
      <c r="O45" s="76"/>
      <c r="P45" s="76"/>
      <c r="Q45" s="251"/>
      <c r="R45" s="76"/>
      <c r="S45" s="76"/>
      <c r="T45" s="76"/>
      <c r="U45" s="76"/>
      <c r="V45" s="76"/>
      <c r="W45" s="226"/>
      <c r="X45" s="76"/>
      <c r="Y45" s="238"/>
    </row>
    <row r="46" spans="1:25">
      <c r="A46" s="242" t="s">
        <v>162</v>
      </c>
      <c r="B46" s="1"/>
      <c r="C46" s="1"/>
      <c r="D46" s="251"/>
      <c r="E46" s="251">
        <v>101136362.40000001</v>
      </c>
      <c r="F46" s="76">
        <v>837424700.89999998</v>
      </c>
      <c r="G46" s="76"/>
      <c r="H46" s="76"/>
      <c r="I46" s="76"/>
      <c r="J46" s="76"/>
      <c r="K46" s="76"/>
      <c r="L46" s="8"/>
      <c r="M46" s="76"/>
      <c r="N46" s="251"/>
      <c r="O46" s="76"/>
      <c r="P46" s="76"/>
      <c r="Q46" s="251"/>
      <c r="R46" s="76"/>
      <c r="S46" s="76"/>
      <c r="T46" s="76"/>
      <c r="U46" s="76"/>
      <c r="V46" s="76"/>
      <c r="W46" s="226"/>
      <c r="X46" s="76"/>
      <c r="Y46" s="238"/>
    </row>
    <row r="47" spans="1:25">
      <c r="A47" s="242" t="s">
        <v>177</v>
      </c>
      <c r="B47" s="1"/>
      <c r="C47" s="83"/>
      <c r="D47" s="76">
        <v>155457648</v>
      </c>
      <c r="E47" s="76">
        <v>828605297</v>
      </c>
      <c r="F47" s="76"/>
      <c r="G47" s="76"/>
      <c r="H47" s="76"/>
      <c r="I47" s="76"/>
      <c r="J47" s="76"/>
      <c r="K47" s="76"/>
      <c r="L47" s="8"/>
      <c r="M47" s="76"/>
      <c r="N47" s="251"/>
      <c r="O47" s="76"/>
      <c r="P47" s="76"/>
      <c r="Q47" s="251"/>
      <c r="R47" s="76"/>
      <c r="S47" s="76"/>
      <c r="T47" s="76"/>
      <c r="U47" s="76"/>
      <c r="V47" s="76"/>
      <c r="W47" s="226"/>
      <c r="X47" s="76"/>
      <c r="Y47" s="238"/>
    </row>
    <row r="48" spans="1:25">
      <c r="A48" s="242" t="s">
        <v>253</v>
      </c>
      <c r="B48" s="1"/>
      <c r="C48" s="83">
        <v>72896025.790000007</v>
      </c>
      <c r="D48" s="76">
        <v>672137983.49000001</v>
      </c>
      <c r="E48" s="76"/>
      <c r="F48" s="76"/>
      <c r="G48" s="76"/>
      <c r="H48" s="76"/>
      <c r="I48" s="76"/>
      <c r="J48" s="76"/>
      <c r="K48" s="76"/>
      <c r="L48" s="8"/>
      <c r="M48" s="76"/>
      <c r="N48" s="251"/>
      <c r="O48" s="76"/>
      <c r="P48" s="76"/>
      <c r="Q48" s="251"/>
      <c r="R48" s="76"/>
      <c r="S48" s="76"/>
      <c r="T48" s="76"/>
      <c r="U48" s="76"/>
      <c r="V48" s="76"/>
      <c r="W48" s="226"/>
      <c r="X48" s="76"/>
      <c r="Y48" s="238"/>
    </row>
    <row r="49" spans="1:25">
      <c r="A49" s="242" t="s">
        <v>286</v>
      </c>
      <c r="B49" s="9">
        <f>'2022 CF'!T43</f>
        <v>96566161.709999993</v>
      </c>
      <c r="C49" s="83">
        <v>315590198.31</v>
      </c>
      <c r="D49" s="76"/>
      <c r="E49" s="76"/>
      <c r="F49" s="76"/>
      <c r="G49" s="76"/>
      <c r="H49" s="76"/>
      <c r="I49" s="76"/>
      <c r="J49" s="76"/>
      <c r="K49" s="76"/>
      <c r="L49" s="8"/>
      <c r="M49" s="76"/>
      <c r="N49" s="251"/>
      <c r="O49" s="76"/>
      <c r="P49" s="76"/>
      <c r="Q49" s="251"/>
      <c r="R49" s="76"/>
      <c r="S49" s="76"/>
      <c r="T49" s="76"/>
      <c r="U49" s="76"/>
      <c r="V49" s="76"/>
      <c r="W49" s="226"/>
      <c r="X49" s="76"/>
      <c r="Y49" s="238"/>
    </row>
    <row r="50" spans="1:25">
      <c r="A50" s="242" t="s">
        <v>393</v>
      </c>
      <c r="B50" s="9">
        <f>'2023 CF'!T79</f>
        <v>1059313457.5499997</v>
      </c>
      <c r="C50" s="83"/>
      <c r="D50" s="76"/>
      <c r="E50" s="76"/>
      <c r="F50" s="76"/>
      <c r="G50" s="76"/>
      <c r="H50" s="76"/>
      <c r="I50" s="76"/>
      <c r="J50" s="76"/>
      <c r="K50" s="76"/>
      <c r="L50" s="8"/>
      <c r="M50" s="76"/>
      <c r="N50" s="251"/>
      <c r="O50" s="76"/>
      <c r="P50" s="76"/>
      <c r="Q50" s="251"/>
      <c r="R50" s="76"/>
      <c r="S50" s="76"/>
      <c r="T50" s="76"/>
      <c r="U50" s="76"/>
      <c r="V50" s="76"/>
      <c r="W50" s="226"/>
      <c r="X50" s="76"/>
      <c r="Y50" s="238"/>
    </row>
    <row r="51" spans="1:25">
      <c r="A51" s="242" t="s">
        <v>128</v>
      </c>
      <c r="B51" s="76">
        <f>'SC5 OTHER'!L25+'SC5 OTHER'!L29+'SC5 OTHER'!L71+'SC5 OTHER'!L74+'SC5 OTHER'!L76+'SC5 OTHER'!L78+'SC5 OTHER'!L81+'SC5 OTHER'!L85+'SC5 OTHER'!L87+'SC5 OTHER'!L89+'SC5 OTHER'!L91+'SC4 MF- Local Collapse'!L20+'SC4 MF- Local Collapse'!L21+'SC4 MF- Local Collapse'!L23+'SC4 MF- Local Collapse'!L24+'SC4 MF- Local Collapse'!L25+'SC4 MF- Local Collapse'!L26+'SC4 MF- Local Collapse'!L27+'SC4 MF- Local Collapse'!L28+('SC4 MF- Local Collapse'!L29-'SC4 MF- Local Collapse'!G62)+'SC4 MF- TDHCA'!L10+'SC4 MF- TDHCA'!L11+'SC4 MF- TDHCA'!L12+'SC4 MF- TDHCA'!L13+'SC4 TSAHC'!L8+'SC4 TSAHC'!L9+'SC4 TSAHC'!L10+'SC4 TSAHC'!L11+'SC1 MRB'!N15+'SC1 MRB'!N16+'SC1 MRB'!N17+'SC1 MRB'!N18+'SC1 MRB'!N19+'SC1 MRB'!N20+'SC1 MRB'!N21+'SC1 MRB'!N22+'SC1 MRB'!N23+'SC1 MRB'!N24+'SC1 MRB'!N25+'SC1 MRB'!N26+'SC1 MRB'!N27+'SC1 MRB'!N28+'SC1 MRB'!N29+'SC1 MRB'!N30+'SC1 MRB'!N31+'SC1 MRB'!N32+'SC1 MRB'!N33+'SC1 MRB'!N34+'Aug 15'!N7+'Aug 15'!N8+'Aug 15'!N9+'Aug 15'!N11+'Aug 15'!N12+'Aug 15'!N13+'Aug 15'!N14+'Aug 15'!N15+'Aug 15'!N17+'Aug 15'!N18+'Aug 15'!N19+'Aug 15'!N20+'Aug 15'!N21+'Aug 15'!K22+'Aug 15'!K23+'Aug 15'!K40+'Aug 15'!K41+'Aug 15'!K42+'Aug 15'!K43-'Aug 15'!G58+'Aug 15'!H49</f>
        <v>3148445755.7399998</v>
      </c>
      <c r="C51" s="83">
        <v>2403738397.4299998</v>
      </c>
      <c r="D51" s="76">
        <v>1873319179.1600001</v>
      </c>
      <c r="E51" s="76">
        <v>1756580668</v>
      </c>
      <c r="F51" s="76">
        <v>1844727688.3000002</v>
      </c>
      <c r="G51" s="76">
        <v>2481381410.8499999</v>
      </c>
      <c r="H51" s="76">
        <v>2644975579</v>
      </c>
      <c r="I51" s="76">
        <v>1571292238.1500001</v>
      </c>
      <c r="J51" s="76">
        <v>2201486119.4400001</v>
      </c>
      <c r="K51" s="76">
        <v>2440169300</v>
      </c>
      <c r="L51" s="8">
        <v>2373598300</v>
      </c>
      <c r="M51" s="76">
        <v>1282771000</v>
      </c>
      <c r="N51" s="251">
        <v>951896000</v>
      </c>
      <c r="O51" s="76">
        <v>1135180000</v>
      </c>
      <c r="P51" s="76">
        <v>1528909710.3000002</v>
      </c>
      <c r="Q51" s="251">
        <v>1734920489.2</v>
      </c>
      <c r="R51" s="76"/>
      <c r="S51" s="76"/>
      <c r="T51" s="76"/>
      <c r="U51" s="76"/>
      <c r="V51" s="76"/>
      <c r="W51" s="226"/>
      <c r="X51" s="76"/>
      <c r="Y51" s="238"/>
    </row>
    <row r="52" spans="1:25">
      <c r="A52" s="242"/>
      <c r="B52" s="76">
        <f>SUM(B27:B51)</f>
        <v>4311520350.3899994</v>
      </c>
      <c r="C52" s="76">
        <v>6304463450.6499996</v>
      </c>
      <c r="D52" s="76">
        <v>5934395837.3999996</v>
      </c>
      <c r="E52" s="76">
        <v>6207742918.8999996</v>
      </c>
      <c r="F52" s="76">
        <v>6420558409.0945005</v>
      </c>
      <c r="G52" s="76">
        <v>6873330023.3945007</v>
      </c>
      <c r="H52" s="76">
        <v>6281389530.1499996</v>
      </c>
      <c r="I52" s="76">
        <v>7634459758.04</v>
      </c>
      <c r="J52" s="9">
        <v>6561415028.2000008</v>
      </c>
      <c r="K52" s="9">
        <v>6459406313</v>
      </c>
      <c r="L52" s="8">
        <v>5276952525</v>
      </c>
      <c r="M52" s="76">
        <v>4717858331.6000004</v>
      </c>
      <c r="N52" s="76">
        <v>5390400333.6000004</v>
      </c>
      <c r="O52" s="76">
        <v>5789638391.1499996</v>
      </c>
      <c r="P52" s="76">
        <v>5407133423.6500006</v>
      </c>
      <c r="Q52" s="251">
        <v>4469135614.3500004</v>
      </c>
      <c r="R52" s="76">
        <v>2761268210.4877172</v>
      </c>
      <c r="S52" s="76">
        <v>2705835313</v>
      </c>
      <c r="T52" s="76">
        <v>2769519169</v>
      </c>
      <c r="U52" s="76">
        <v>2598659516.5500002</v>
      </c>
      <c r="V52" s="76">
        <v>2154684751.5500002</v>
      </c>
      <c r="W52" s="226">
        <v>1826186494</v>
      </c>
      <c r="X52" s="76">
        <v>1662576350</v>
      </c>
      <c r="Y52" s="238">
        <v>1322304905</v>
      </c>
    </row>
    <row r="53" spans="1:25" ht="12.75" thickBot="1">
      <c r="A53" s="244"/>
      <c r="B53" s="402"/>
      <c r="C53" s="402"/>
      <c r="D53" s="346"/>
      <c r="E53" s="346"/>
      <c r="F53" s="245"/>
      <c r="G53" s="245"/>
      <c r="H53" s="245">
        <v>0.99999999971821518</v>
      </c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6"/>
      <c r="X53" s="247"/>
      <c r="Y53" s="248"/>
    </row>
    <row r="54" spans="1:25" ht="12.75">
      <c r="A54" s="1"/>
      <c r="B54" s="1"/>
      <c r="C54" s="1"/>
      <c r="D54" s="1"/>
      <c r="E54" s="1"/>
      <c r="F54" s="1">
        <v>0.9999999998520378</v>
      </c>
      <c r="G54" s="1">
        <v>1.0000000000879488</v>
      </c>
      <c r="H54" s="1"/>
      <c r="I54" s="1"/>
      <c r="J54" s="83">
        <v>4848200159.04</v>
      </c>
      <c r="K54" s="1"/>
      <c r="L54" s="1"/>
      <c r="M54" s="1"/>
      <c r="N54">
        <v>653270937.39999998</v>
      </c>
      <c r="O54" s="249"/>
      <c r="P54" s="76"/>
      <c r="Q54" s="76"/>
      <c r="R54" s="76"/>
      <c r="S54">
        <v>1621413093.6500001</v>
      </c>
      <c r="T54" s="76"/>
      <c r="U54" s="143"/>
      <c r="V54" s="143"/>
      <c r="Y54" s="250"/>
    </row>
    <row r="55" spans="1:25">
      <c r="A55" t="s">
        <v>10</v>
      </c>
      <c r="J55" s="249"/>
      <c r="K55">
        <v>2440169300</v>
      </c>
      <c r="L55">
        <v>2373598300</v>
      </c>
      <c r="M55">
        <v>2024812688</v>
      </c>
      <c r="N55" s="76"/>
      <c r="O55" s="249"/>
      <c r="P55" s="249">
        <v>1528909710.3000002</v>
      </c>
      <c r="Q55">
        <v>1734920489.2</v>
      </c>
      <c r="R55" s="76">
        <v>18660702.037717462</v>
      </c>
      <c r="S55" s="76"/>
      <c r="T55">
        <v>1384280849.5</v>
      </c>
    </row>
    <row r="56" spans="1:25">
      <c r="A56" s="1" t="s">
        <v>132</v>
      </c>
      <c r="B56" s="1"/>
      <c r="C56" s="1"/>
      <c r="D56" s="167">
        <v>1374754330.8399999</v>
      </c>
      <c r="E56" s="1">
        <v>1473102822</v>
      </c>
      <c r="F56" s="1">
        <v>1199839816.7</v>
      </c>
      <c r="G56" s="1">
        <v>532312314.14999998</v>
      </c>
      <c r="H56" s="1">
        <v>327007000</v>
      </c>
      <c r="I56" s="1">
        <v>1214967360.8499999</v>
      </c>
      <c r="J56" s="1">
        <v>545425279.55999994</v>
      </c>
      <c r="K56" s="76">
        <v>255526500</v>
      </c>
      <c r="L56" s="76">
        <v>271221000</v>
      </c>
      <c r="M56" s="76">
        <v>450811597</v>
      </c>
      <c r="N56">
        <v>690691078</v>
      </c>
      <c r="O56" s="249">
        <v>246387499.69999999</v>
      </c>
      <c r="P56" s="76">
        <v>701497469.69999993</v>
      </c>
      <c r="Q56" s="76">
        <v>454507170.80000001</v>
      </c>
      <c r="R56" s="76">
        <v>970197105.10000002</v>
      </c>
      <c r="S56">
        <v>1998161555</v>
      </c>
      <c r="T56" s="76">
        <v>1828797440</v>
      </c>
      <c r="U56" s="143">
        <v>1799201760</v>
      </c>
      <c r="V56" s="143">
        <v>1919439720</v>
      </c>
      <c r="W56">
        <v>1670078156</v>
      </c>
    </row>
    <row r="57" spans="1:25">
      <c r="A57" s="1" t="s">
        <v>133</v>
      </c>
      <c r="B57" s="1"/>
      <c r="C57" s="1"/>
      <c r="D57" s="167">
        <v>1833726695.51</v>
      </c>
      <c r="E57" s="76">
        <v>1907960729.5</v>
      </c>
      <c r="F57" s="76">
        <v>2160654107.2744999</v>
      </c>
      <c r="G57" s="76">
        <v>2665474904.2000003</v>
      </c>
      <c r="H57" s="76">
        <v>1620074732.3600001</v>
      </c>
      <c r="I57" s="76">
        <v>2595250445.27</v>
      </c>
      <c r="J57" s="76">
        <v>867863589.60000002</v>
      </c>
      <c r="K57" s="76">
        <v>1766793183.8</v>
      </c>
      <c r="L57" s="76">
        <v>892560804</v>
      </c>
      <c r="M57" s="76">
        <v>584579150.79999995</v>
      </c>
      <c r="N57" s="76">
        <v>653270937.39999998</v>
      </c>
      <c r="O57" s="76">
        <v>964230709</v>
      </c>
      <c r="P57" s="76">
        <v>859699500</v>
      </c>
      <c r="Q57" s="76">
        <v>320322200</v>
      </c>
      <c r="R57" s="76"/>
      <c r="S57" s="76"/>
      <c r="T57" s="76"/>
      <c r="U57" s="76"/>
      <c r="V57" s="76"/>
      <c r="W57" s="76"/>
    </row>
    <row r="58" spans="1:25">
      <c r="A58" s="1" t="s">
        <v>134</v>
      </c>
      <c r="B58" s="1"/>
      <c r="C58" s="1"/>
      <c r="D58" s="167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>
        <v>398500000</v>
      </c>
      <c r="Q58" s="76">
        <v>281500000</v>
      </c>
      <c r="R58" s="76"/>
      <c r="T58" s="76"/>
      <c r="U58" s="76"/>
      <c r="V58" s="76"/>
      <c r="W58" s="76"/>
    </row>
    <row r="59" spans="1:25">
      <c r="A59" s="1" t="s">
        <v>135</v>
      </c>
      <c r="B59" s="1"/>
      <c r="C59" s="1"/>
      <c r="D59" s="167">
        <v>1873319179.1600001</v>
      </c>
      <c r="E59" s="1">
        <v>1756580668</v>
      </c>
      <c r="F59" s="1">
        <v>1844727688.3</v>
      </c>
      <c r="G59" s="76"/>
      <c r="H59" s="1"/>
      <c r="I59" s="1"/>
      <c r="J59" s="1"/>
      <c r="K59" s="1"/>
      <c r="L59" s="1"/>
      <c r="M59" s="1"/>
      <c r="N59">
        <v>1444090712.5999999</v>
      </c>
      <c r="O59" s="249">
        <v>1382940643</v>
      </c>
      <c r="P59" s="76">
        <v>1918526743.3499999</v>
      </c>
      <c r="Q59" s="76">
        <v>1677885754.3499999</v>
      </c>
      <c r="R59" s="76">
        <v>1772410403.3499999</v>
      </c>
      <c r="S59">
        <v>707673758</v>
      </c>
      <c r="T59" s="76">
        <v>940721729</v>
      </c>
      <c r="U59" s="76">
        <v>799457756.54999995</v>
      </c>
      <c r="V59" s="76">
        <v>235245031.55000001</v>
      </c>
      <c r="W59" s="76">
        <v>156108338</v>
      </c>
    </row>
    <row r="60" spans="1:25">
      <c r="A60" s="1"/>
      <c r="B60" s="1"/>
      <c r="C60" s="1"/>
      <c r="D60" s="167"/>
      <c r="E60" s="140"/>
      <c r="F60" s="140"/>
      <c r="G60" s="1"/>
      <c r="H60" s="1"/>
      <c r="I60" s="1"/>
      <c r="J60" s="1"/>
      <c r="K60" s="1"/>
      <c r="L60" s="1"/>
      <c r="M60" s="1"/>
      <c r="N60" s="251"/>
      <c r="O60" s="76"/>
      <c r="P60" s="76">
        <v>5407133423.3500004</v>
      </c>
      <c r="Q60" s="76">
        <v>4469135614.3500004</v>
      </c>
      <c r="R60" s="76">
        <v>2761268210.4877176</v>
      </c>
      <c r="S60" s="76">
        <v>2705835313</v>
      </c>
      <c r="T60" s="76">
        <v>2769519169</v>
      </c>
      <c r="U60" s="76">
        <v>2598659516.5500002</v>
      </c>
      <c r="V60" s="76">
        <v>2154684751.5500002</v>
      </c>
      <c r="W60" s="76">
        <v>1826186494</v>
      </c>
    </row>
    <row r="61" spans="1:25">
      <c r="D61" s="259"/>
      <c r="O61" s="249"/>
      <c r="P61" s="76"/>
      <c r="Q61" s="81"/>
      <c r="R61" s="81"/>
      <c r="S61" s="81"/>
      <c r="T61" s="81"/>
      <c r="U61" s="81"/>
      <c r="V61" s="81"/>
      <c r="W61" s="81"/>
    </row>
    <row r="62" spans="1:25">
      <c r="A62" t="s">
        <v>136</v>
      </c>
      <c r="D62" s="259">
        <v>3208481026.3499999</v>
      </c>
      <c r="E62">
        <v>3381063551.5</v>
      </c>
      <c r="F62" s="249"/>
      <c r="I62">
        <v>3810217806.1199999</v>
      </c>
      <c r="L62" s="249"/>
      <c r="M62" s="249"/>
      <c r="N62">
        <v>1343962015.4000001</v>
      </c>
      <c r="O62" s="249">
        <v>1210618208.7</v>
      </c>
      <c r="P62" s="249">
        <v>1959696969.6999998</v>
      </c>
      <c r="R62">
        <v>0.47748921283094414</v>
      </c>
      <c r="S62">
        <v>1</v>
      </c>
      <c r="T62">
        <v>1</v>
      </c>
    </row>
    <row r="63" spans="1:25">
      <c r="A63" s="1"/>
      <c r="B63" s="1"/>
      <c r="C63" s="1"/>
      <c r="D63" s="76"/>
      <c r="E63" s="76"/>
      <c r="F63" s="1"/>
      <c r="G63" s="1"/>
      <c r="H63" s="1"/>
      <c r="I63" s="76"/>
      <c r="J63" s="1"/>
      <c r="K63" s="1"/>
      <c r="L63" s="1"/>
      <c r="M63" s="1"/>
      <c r="N63" s="76">
        <v>533175100</v>
      </c>
      <c r="O63" s="76"/>
      <c r="P63" s="76"/>
      <c r="R63" s="252">
        <v>2.4307701250055427</v>
      </c>
      <c r="S63" s="252">
        <v>0.999660976358409</v>
      </c>
      <c r="T63" s="143">
        <v>1</v>
      </c>
    </row>
    <row r="64" spans="1:25">
      <c r="I64">
        <v>-1.4901161193847656E-7</v>
      </c>
      <c r="N64" s="76"/>
      <c r="R64" s="252">
        <v>1.000086924188901</v>
      </c>
      <c r="S64" s="252">
        <v>0.9999113108571327</v>
      </c>
      <c r="T64" s="143">
        <v>1</v>
      </c>
      <c r="X64" s="253"/>
    </row>
    <row r="65" spans="1:25">
      <c r="F65" s="198"/>
      <c r="G65" s="198"/>
      <c r="H65" s="198">
        <v>1</v>
      </c>
      <c r="I65" s="249"/>
      <c r="J65">
        <v>0.82037716162898355</v>
      </c>
      <c r="R65" s="254"/>
      <c r="S65" s="254"/>
      <c r="T65" s="255"/>
      <c r="X65" s="256"/>
    </row>
    <row r="66" spans="1:25">
      <c r="A66" t="s">
        <v>137</v>
      </c>
      <c r="F66">
        <v>0</v>
      </c>
      <c r="G66">
        <v>0</v>
      </c>
      <c r="H66">
        <v>0.76999998092651367</v>
      </c>
      <c r="I66">
        <v>0.9999997615814209</v>
      </c>
      <c r="X66" s="257"/>
    </row>
    <row r="67" spans="1:25">
      <c r="A67" s="1" t="s">
        <v>138</v>
      </c>
      <c r="B67" s="1"/>
      <c r="C67" s="1"/>
      <c r="D67" s="1"/>
      <c r="E67" s="1"/>
      <c r="F67" s="83">
        <v>0.94999992847442627</v>
      </c>
      <c r="G67" s="83">
        <v>-0.6045001745223999</v>
      </c>
      <c r="H67" s="83"/>
      <c r="I67" s="76">
        <v>-8.9406967163085938E-8</v>
      </c>
      <c r="J67" s="76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X67" s="256"/>
    </row>
    <row r="68" spans="1:25">
      <c r="A68" s="1"/>
      <c r="B68" s="1"/>
      <c r="C68" s="1"/>
      <c r="D68" s="1"/>
      <c r="E68" s="1"/>
      <c r="F68" s="76"/>
      <c r="G68" s="251"/>
      <c r="H68" s="251"/>
      <c r="I68" s="76"/>
      <c r="J68" s="76"/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X68" s="1"/>
    </row>
    <row r="69" spans="1:25">
      <c r="K69" s="249"/>
    </row>
    <row r="70" spans="1:25">
      <c r="I70">
        <v>2017</v>
      </c>
      <c r="J70">
        <v>2016</v>
      </c>
      <c r="K70" s="258">
        <v>2015</v>
      </c>
      <c r="L70" s="259">
        <v>2014</v>
      </c>
      <c r="M70" s="259">
        <v>2013</v>
      </c>
      <c r="N70">
        <v>2012</v>
      </c>
      <c r="O70">
        <v>2011</v>
      </c>
      <c r="P70">
        <v>2010</v>
      </c>
      <c r="Q70">
        <v>2009</v>
      </c>
      <c r="R70">
        <v>2008</v>
      </c>
      <c r="S70">
        <v>2007</v>
      </c>
      <c r="T70">
        <v>2006</v>
      </c>
      <c r="U70">
        <v>2005</v>
      </c>
      <c r="V70">
        <v>2004</v>
      </c>
      <c r="W70">
        <v>2003</v>
      </c>
      <c r="X70" t="s">
        <v>129</v>
      </c>
      <c r="Y70" t="s">
        <v>130</v>
      </c>
    </row>
    <row r="71" spans="1:25">
      <c r="A71" t="s">
        <v>56</v>
      </c>
      <c r="I71" s="212">
        <v>3029932174.5700002</v>
      </c>
      <c r="J71" s="212">
        <v>310068279.56</v>
      </c>
      <c r="K71" s="212">
        <v>1282090213</v>
      </c>
      <c r="L71" s="212">
        <v>726532000</v>
      </c>
      <c r="M71" s="212">
        <v>675757940</v>
      </c>
      <c r="N71" s="212">
        <v>762006178</v>
      </c>
      <c r="O71" s="212">
        <v>917248209</v>
      </c>
      <c r="P71" s="212">
        <v>399142544</v>
      </c>
      <c r="Q71" s="212">
        <v>326297020</v>
      </c>
      <c r="R71" s="212">
        <v>134240000</v>
      </c>
      <c r="S71" s="212">
        <v>627287536.5</v>
      </c>
      <c r="T71" s="212">
        <v>618272849.5</v>
      </c>
      <c r="U71" s="212">
        <v>273345311</v>
      </c>
      <c r="V71" s="212">
        <v>352404145</v>
      </c>
      <c r="W71" s="212">
        <v>271521463</v>
      </c>
      <c r="X71" s="212">
        <v>453396662</v>
      </c>
      <c r="Y71" s="212">
        <v>418475905</v>
      </c>
    </row>
    <row r="72" spans="1:25">
      <c r="A72" s="1" t="s">
        <v>57</v>
      </c>
      <c r="B72" s="1"/>
      <c r="C72" s="1"/>
      <c r="D72" s="1"/>
      <c r="E72" s="1"/>
      <c r="F72" s="1"/>
      <c r="G72" s="1"/>
      <c r="H72" s="1"/>
      <c r="I72" s="249"/>
      <c r="J72" s="249"/>
      <c r="K72" s="249"/>
      <c r="L72" s="249"/>
      <c r="M72" s="249"/>
      <c r="N72" s="76">
        <v>99995837.400000006</v>
      </c>
      <c r="O72" s="76">
        <v>124994999.7</v>
      </c>
      <c r="P72" s="76">
        <v>95279609.400000006</v>
      </c>
      <c r="Q72" s="76">
        <v>24999100.800000001</v>
      </c>
      <c r="R72" s="76">
        <v>74997184.099999994</v>
      </c>
      <c r="S72" s="76">
        <v>99999895.150000006</v>
      </c>
      <c r="T72" s="76">
        <v>0</v>
      </c>
      <c r="U72" s="76">
        <v>0</v>
      </c>
      <c r="V72" s="76">
        <v>25000000</v>
      </c>
      <c r="W72" s="76">
        <v>100000000</v>
      </c>
      <c r="X72" s="76">
        <v>120000000</v>
      </c>
      <c r="Y72" s="76">
        <v>0</v>
      </c>
    </row>
    <row r="73" spans="1:25">
      <c r="A73" s="1" t="s">
        <v>58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6">
        <v>10000000</v>
      </c>
      <c r="O73" s="76">
        <v>13300000</v>
      </c>
      <c r="P73" s="76">
        <v>3440000</v>
      </c>
      <c r="Q73" s="76">
        <v>16043250</v>
      </c>
      <c r="R73" s="76">
        <v>40869207</v>
      </c>
      <c r="S73" s="76">
        <v>19402500</v>
      </c>
      <c r="T73" s="76">
        <v>0</v>
      </c>
      <c r="U73" s="76">
        <v>7225000</v>
      </c>
      <c r="V73" s="76">
        <v>10000000</v>
      </c>
      <c r="W73" s="76">
        <v>3700000</v>
      </c>
      <c r="X73" s="76">
        <v>0</v>
      </c>
      <c r="Y73" s="76">
        <v>0</v>
      </c>
    </row>
    <row r="74" spans="1:25">
      <c r="A74" s="1" t="s">
        <v>59</v>
      </c>
      <c r="B74" s="1"/>
      <c r="C74" s="1"/>
      <c r="D74" s="1"/>
      <c r="E74" s="1"/>
      <c r="F74" s="1"/>
      <c r="G74" s="1"/>
      <c r="H74" s="1"/>
      <c r="I74" s="1">
        <v>601072000</v>
      </c>
      <c r="J74" s="1">
        <v>578830500</v>
      </c>
      <c r="K74" s="1">
        <v>497506500</v>
      </c>
      <c r="L74" s="1">
        <v>197095000</v>
      </c>
      <c r="M74" s="1">
        <v>173205000</v>
      </c>
      <c r="N74" s="76">
        <v>110425000</v>
      </c>
      <c r="O74" s="76">
        <v>69875000</v>
      </c>
      <c r="P74" s="76">
        <v>36325000</v>
      </c>
      <c r="Q74" s="76">
        <v>28690000</v>
      </c>
      <c r="R74" s="76">
        <v>124665714</v>
      </c>
      <c r="S74" s="76">
        <v>368269000</v>
      </c>
      <c r="T74" s="76">
        <v>431337562</v>
      </c>
      <c r="U74" s="76">
        <v>537100000</v>
      </c>
      <c r="V74" s="76">
        <v>482250000</v>
      </c>
      <c r="W74" s="76">
        <v>512176000</v>
      </c>
      <c r="X74" s="76">
        <v>365185169</v>
      </c>
      <c r="Y74" s="76">
        <v>319584000</v>
      </c>
    </row>
    <row r="75" spans="1:25">
      <c r="A75" s="1" t="s">
        <v>60</v>
      </c>
      <c r="B75" s="1"/>
      <c r="C75" s="1"/>
      <c r="D75" s="1"/>
      <c r="E75" s="1"/>
      <c r="F75" s="1"/>
      <c r="G75" s="1"/>
      <c r="H75" s="1"/>
      <c r="I75" s="76"/>
      <c r="J75" s="76"/>
      <c r="K75" s="76"/>
      <c r="L75" s="76"/>
      <c r="M75" s="76"/>
      <c r="N75" s="76">
        <v>0</v>
      </c>
      <c r="O75" s="76">
        <v>0</v>
      </c>
      <c r="P75" s="76">
        <v>293850000</v>
      </c>
      <c r="Q75" s="76">
        <v>0</v>
      </c>
      <c r="R75" s="76">
        <v>58500000</v>
      </c>
      <c r="S75" s="76">
        <v>240405000</v>
      </c>
      <c r="T75" s="76">
        <v>191945000</v>
      </c>
      <c r="U75" s="76">
        <v>656050000</v>
      </c>
      <c r="V75" s="76">
        <v>296200000</v>
      </c>
      <c r="W75" s="76">
        <v>140000000</v>
      </c>
      <c r="X75" s="76">
        <v>139500000</v>
      </c>
      <c r="Y75" s="76">
        <v>136840000</v>
      </c>
    </row>
    <row r="76" spans="1:25">
      <c r="A76" s="1" t="s">
        <v>61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6">
        <v>361535000</v>
      </c>
      <c r="O76" s="76">
        <v>85200000</v>
      </c>
      <c r="P76" s="76">
        <v>588510316.29999995</v>
      </c>
      <c r="Q76" s="76">
        <v>358800000</v>
      </c>
      <c r="R76" s="76">
        <v>658300000</v>
      </c>
      <c r="S76" s="76">
        <v>571735471</v>
      </c>
      <c r="T76" s="76">
        <v>725050000</v>
      </c>
      <c r="U76" s="76">
        <v>144625000</v>
      </c>
      <c r="V76" s="76">
        <v>189355000</v>
      </c>
      <c r="W76" s="76">
        <v>413585000</v>
      </c>
      <c r="X76" s="76">
        <v>391800000</v>
      </c>
      <c r="Y76" s="76">
        <v>384205000</v>
      </c>
    </row>
    <row r="77" spans="1:25">
      <c r="A77" s="1" t="s">
        <v>139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6">
        <v>853943988</v>
      </c>
      <c r="O77" s="76">
        <v>520447605</v>
      </c>
      <c r="P77" s="76">
        <v>146632500.35000002</v>
      </c>
      <c r="Q77" s="76">
        <v>236080000</v>
      </c>
      <c r="R77" s="76">
        <v>101327449</v>
      </c>
      <c r="S77" s="76">
        <v>49580000</v>
      </c>
      <c r="T77" s="76">
        <v>95000000</v>
      </c>
      <c r="U77" s="76">
        <v>39592476.549999997</v>
      </c>
      <c r="V77" s="76">
        <v>17850</v>
      </c>
      <c r="W77" s="76">
        <v>0</v>
      </c>
      <c r="X77" s="76">
        <v>0</v>
      </c>
      <c r="Y77" s="76">
        <v>0</v>
      </c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6">
        <v>2395986712.5999999</v>
      </c>
      <c r="O78" s="76">
        <v>2088812600.45</v>
      </c>
      <c r="P78" s="76">
        <v>1563179970.0499997</v>
      </c>
      <c r="Q78" s="76">
        <v>990909370.79999995</v>
      </c>
      <c r="R78" s="76">
        <v>1192899554.0999999</v>
      </c>
      <c r="S78" s="76">
        <v>1976679402.6500001</v>
      </c>
      <c r="T78" s="76">
        <v>2061605411.5</v>
      </c>
      <c r="U78" s="76">
        <v>1657937787.55</v>
      </c>
      <c r="V78" s="76">
        <v>1355226995</v>
      </c>
      <c r="W78" s="76">
        <v>1440982463</v>
      </c>
      <c r="X78" s="76">
        <v>1469881831</v>
      </c>
      <c r="Y78" s="76">
        <v>1259104905</v>
      </c>
    </row>
    <row r="79" spans="1:25">
      <c r="J79">
        <v>4848200159.04</v>
      </c>
      <c r="N79" s="251"/>
      <c r="O79" s="251"/>
      <c r="P79" s="76">
        <v>3092089680.3499999</v>
      </c>
      <c r="Q79" s="76"/>
      <c r="R79" s="76"/>
      <c r="S79" s="76"/>
      <c r="T79" s="76"/>
      <c r="U79" s="76"/>
      <c r="V79" s="76"/>
      <c r="W79" s="76"/>
      <c r="X79" s="76"/>
      <c r="Y79" s="76"/>
    </row>
    <row r="80" spans="1:25">
      <c r="J80" s="249"/>
      <c r="P80" s="83"/>
    </row>
    <row r="81" spans="1:21">
      <c r="A81" t="s">
        <v>140</v>
      </c>
    </row>
    <row r="82" spans="1:21">
      <c r="A82" s="1" t="s">
        <v>56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>
        <v>228831078</v>
      </c>
      <c r="O82">
        <v>105842500</v>
      </c>
      <c r="P82">
        <v>66142544</v>
      </c>
      <c r="Q82">
        <v>54664820</v>
      </c>
      <c r="R82">
        <v>99000000</v>
      </c>
    </row>
    <row r="83" spans="1:21">
      <c r="A83" s="1" t="s">
        <v>57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3">
        <v>0</v>
      </c>
      <c r="O83" s="83">
        <v>74994999.700000003</v>
      </c>
      <c r="P83" s="83">
        <v>95279609.400000006</v>
      </c>
      <c r="Q83" s="83">
        <v>24999100.800000001</v>
      </c>
      <c r="R83" s="83">
        <v>74997184.099999994</v>
      </c>
    </row>
    <row r="84" spans="1:21">
      <c r="A84" s="1" t="s">
        <v>58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51">
        <v>10000000</v>
      </c>
      <c r="O84" s="251">
        <v>13300000</v>
      </c>
      <c r="P84" s="251">
        <v>3440000</v>
      </c>
      <c r="Q84" s="251">
        <v>16043250</v>
      </c>
      <c r="R84" s="251">
        <v>40869207</v>
      </c>
    </row>
    <row r="85" spans="1:21">
      <c r="A85" s="1" t="s">
        <v>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51">
        <v>90325000</v>
      </c>
      <c r="O85" s="251">
        <v>7250000</v>
      </c>
      <c r="P85" s="251">
        <v>5275000</v>
      </c>
      <c r="Q85" s="251">
        <v>0</v>
      </c>
      <c r="R85" s="251">
        <v>38530714</v>
      </c>
    </row>
    <row r="86" spans="1:21">
      <c r="A86" s="1" t="s">
        <v>60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51">
        <v>0</v>
      </c>
      <c r="O86" s="251">
        <v>0</v>
      </c>
      <c r="P86" s="251">
        <v>85850000</v>
      </c>
      <c r="Q86" s="251">
        <v>0</v>
      </c>
      <c r="R86" s="251">
        <v>58500000</v>
      </c>
    </row>
    <row r="87" spans="1:21">
      <c r="A87" s="1" t="s">
        <v>61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51">
        <v>361535000</v>
      </c>
      <c r="O87" s="251">
        <v>45000000</v>
      </c>
      <c r="P87" s="251">
        <v>445510316.30000001</v>
      </c>
      <c r="Q87" s="251">
        <v>358800000</v>
      </c>
      <c r="R87" s="251">
        <v>658300000</v>
      </c>
    </row>
    <row r="88" spans="1:21">
      <c r="A88" s="1" t="s">
        <v>77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51">
        <v>951896000</v>
      </c>
      <c r="O88" s="251">
        <v>1135180000</v>
      </c>
      <c r="P88" s="251">
        <v>1528909710.3000002</v>
      </c>
      <c r="Q88" s="251">
        <v>1734920489.2</v>
      </c>
      <c r="R88" s="251">
        <v>1043014493</v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51"/>
      <c r="O89" s="251">
        <v>1381567499.7</v>
      </c>
      <c r="P89" s="251">
        <v>2230407180</v>
      </c>
      <c r="Q89" s="251">
        <v>2189427660</v>
      </c>
      <c r="R89" s="251">
        <v>2013211598.0999999</v>
      </c>
    </row>
    <row r="90" spans="1:21">
      <c r="O90" s="83"/>
      <c r="P90" s="83"/>
      <c r="Q90" s="83"/>
      <c r="R90" s="83"/>
    </row>
    <row r="91" spans="1:21">
      <c r="O91">
        <v>-1007260795.3</v>
      </c>
      <c r="P91">
        <v>0</v>
      </c>
      <c r="Q91">
        <v>0</v>
      </c>
      <c r="R91">
        <v>-18660701.900000095</v>
      </c>
    </row>
    <row r="92" spans="1:21">
      <c r="O92" s="83"/>
      <c r="P92" s="83"/>
      <c r="Q92" s="83"/>
      <c r="R92" s="83"/>
    </row>
    <row r="94" spans="1:21">
      <c r="I94">
        <v>4325052806.1199999</v>
      </c>
      <c r="J94">
        <v>1713214869.1599998</v>
      </c>
      <c r="K94">
        <v>2644902683.8000002</v>
      </c>
      <c r="L94">
        <v>1511242012</v>
      </c>
      <c r="M94">
        <v>2085725106.8</v>
      </c>
      <c r="N94">
        <v>2994413621</v>
      </c>
      <c r="O94">
        <v>2838332752.6999998</v>
      </c>
      <c r="P94">
        <v>2106329470.3500004</v>
      </c>
      <c r="Q94">
        <v>1292409370.8</v>
      </c>
      <c r="R94">
        <v>1211560256.1377172</v>
      </c>
      <c r="S94">
        <v>1976679402.6500001</v>
      </c>
      <c r="T94">
        <v>2061605411.5</v>
      </c>
      <c r="U94">
        <v>1657937787.55</v>
      </c>
    </row>
    <row r="95" spans="1:21">
      <c r="I95" s="249">
        <v>22723182948.867718</v>
      </c>
      <c r="J95" s="249">
        <v>20374809545.39772</v>
      </c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</row>
    <row r="96" spans="1:21">
      <c r="I96" s="249"/>
      <c r="J96" s="249"/>
    </row>
    <row r="97" spans="1:6">
      <c r="A97" t="s">
        <v>183</v>
      </c>
      <c r="F97">
        <v>82005055.920000136</v>
      </c>
    </row>
    <row r="98" spans="1:6">
      <c r="A98" t="s">
        <v>184</v>
      </c>
      <c r="F98" s="249">
        <v>2160654107.2744999</v>
      </c>
    </row>
    <row r="99" spans="1:6">
      <c r="A99" t="s">
        <v>185</v>
      </c>
      <c r="F99" s="249">
        <v>1133331740.9000001</v>
      </c>
    </row>
    <row r="100" spans="1:6">
      <c r="A100" t="s">
        <v>186</v>
      </c>
      <c r="F100" s="249">
        <v>1748704688</v>
      </c>
    </row>
    <row r="101" spans="1:6">
      <c r="A101" t="s">
        <v>187</v>
      </c>
      <c r="F101" s="249">
        <v>96023000.300000072</v>
      </c>
    </row>
    <row r="102" spans="1:6">
      <c r="A102" t="s">
        <v>188</v>
      </c>
      <c r="F102" s="305">
        <v>1844727688.3000002</v>
      </c>
    </row>
    <row r="103" spans="1:6">
      <c r="A103" t="s">
        <v>189</v>
      </c>
      <c r="F103" s="249">
        <v>1199839816.7</v>
      </c>
    </row>
    <row r="104" spans="1:6">
      <c r="F104" s="249"/>
    </row>
    <row r="105" spans="1:6">
      <c r="A105" t="s">
        <v>190</v>
      </c>
      <c r="F105">
        <v>3044567505</v>
      </c>
    </row>
    <row r="106" spans="1:6">
      <c r="A106" t="s">
        <v>191</v>
      </c>
      <c r="F106" s="306">
        <v>6420558409.0944996</v>
      </c>
    </row>
    <row r="107" spans="1:6">
      <c r="F107" s="306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66"/>
  <sheetViews>
    <sheetView topLeftCell="A6" zoomScaleNormal="100" workbookViewId="0">
      <selection activeCell="H49" sqref="H49"/>
    </sheetView>
  </sheetViews>
  <sheetFormatPr defaultColWidth="9" defaultRowHeight="12"/>
  <cols>
    <col min="1" max="1" width="8.42578125" style="1" customWidth="1"/>
    <col min="2" max="2" width="6.5703125" style="1" bestFit="1" customWidth="1"/>
    <col min="3" max="3" width="9.28515625" style="1" bestFit="1" customWidth="1"/>
    <col min="4" max="4" width="13.28515625" style="1" bestFit="1" customWidth="1"/>
    <col min="5" max="5" width="27.42578125" style="1" customWidth="1"/>
    <col min="6" max="6" width="46.42578125" style="1" customWidth="1"/>
    <col min="7" max="7" width="15.5703125" style="1" customWidth="1"/>
    <col min="8" max="8" width="15.140625" style="1" customWidth="1"/>
    <col min="9" max="9" width="12.28515625" style="1" bestFit="1" customWidth="1"/>
    <col min="10" max="10" width="14" style="1" bestFit="1" customWidth="1"/>
    <col min="11" max="11" width="14.7109375" style="1" bestFit="1" customWidth="1"/>
    <col min="12" max="12" width="14.28515625" style="3" customWidth="1"/>
    <col min="13" max="13" width="9.85546875" style="3" bestFit="1" customWidth="1"/>
    <col min="14" max="14" width="13.28515625" style="1" bestFit="1" customWidth="1"/>
    <col min="15" max="15" width="9.85546875" style="3" bestFit="1" customWidth="1"/>
    <col min="16" max="16" width="13.7109375" style="1" bestFit="1" customWidth="1"/>
    <col min="17" max="17" width="12.5703125" style="1" bestFit="1" customWidth="1"/>
    <col min="18" max="18" width="9.7109375" style="1" customWidth="1"/>
    <col min="19" max="19" width="9.140625" style="13" bestFit="1" customWidth="1"/>
    <col min="20" max="20" width="41.5703125" style="1" bestFit="1" customWidth="1"/>
    <col min="21" max="21" width="18" style="1" bestFit="1" customWidth="1"/>
    <col min="22" max="16384" width="9" style="1"/>
  </cols>
  <sheetData>
    <row r="1" spans="1:21">
      <c r="A1" s="323">
        <v>43326</v>
      </c>
      <c r="B1" s="323"/>
      <c r="C1" s="323"/>
      <c r="D1" s="318"/>
      <c r="E1" s="518">
        <f>'SC1 MRB'!H41+'SC2 State Voted'!H13+'SC3 Small Issue IDBs'!H13+'SC4 TSAHC'!H17+'SC4 MF- TDHCA'!H19+'SC4 MF- Local Collapse'!H58+'SC5 OTHER'!H110</f>
        <v>906782722.87</v>
      </c>
      <c r="F1" s="18"/>
      <c r="G1" s="18"/>
      <c r="H1" s="319"/>
      <c r="I1" s="319"/>
      <c r="J1" s="319"/>
      <c r="K1" s="19"/>
      <c r="L1" s="22"/>
      <c r="M1" s="370"/>
      <c r="N1" s="21"/>
      <c r="O1" s="22"/>
      <c r="P1" s="19"/>
      <c r="Q1" s="19"/>
      <c r="R1" s="6"/>
      <c r="S1" s="17"/>
      <c r="T1" s="285"/>
    </row>
    <row r="2" spans="1:21">
      <c r="A2" s="48" t="s">
        <v>192</v>
      </c>
      <c r="B2" s="48"/>
      <c r="C2" s="48"/>
      <c r="D2" s="5"/>
      <c r="E2" s="26"/>
      <c r="F2" s="26"/>
      <c r="G2" s="26"/>
      <c r="H2" s="320"/>
      <c r="I2" s="320"/>
      <c r="J2" s="320"/>
      <c r="K2" s="27"/>
      <c r="L2" s="11"/>
      <c r="M2" s="371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20"/>
      <c r="I3" s="320"/>
      <c r="J3" s="320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193</v>
      </c>
      <c r="P4" s="32" t="s">
        <v>27</v>
      </c>
      <c r="Q4" s="32" t="s">
        <v>44</v>
      </c>
      <c r="R4" s="6" t="s">
        <v>22</v>
      </c>
      <c r="S4" s="5" t="s">
        <v>179</v>
      </c>
      <c r="T4" s="30" t="s">
        <v>330</v>
      </c>
    </row>
    <row r="5" spans="1:2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178</v>
      </c>
      <c r="T5" s="30" t="s">
        <v>331</v>
      </c>
    </row>
    <row r="6" spans="1:21" ht="12.75" thickBot="1">
      <c r="A6" s="38"/>
      <c r="B6" s="38"/>
      <c r="C6" s="33" t="s">
        <v>180</v>
      </c>
      <c r="D6" s="38"/>
      <c r="E6" s="33"/>
      <c r="F6" s="39"/>
      <c r="G6" s="39"/>
      <c r="H6" s="321"/>
      <c r="I6" s="321"/>
      <c r="J6" s="321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401" t="s">
        <v>9</v>
      </c>
    </row>
    <row r="7" spans="1:21" s="13" customFormat="1">
      <c r="A7" s="13" t="s">
        <v>147</v>
      </c>
      <c r="B7" s="13" t="s">
        <v>147</v>
      </c>
      <c r="C7" s="13">
        <v>5247</v>
      </c>
      <c r="D7" s="13" t="s">
        <v>77</v>
      </c>
      <c r="E7" s="13" t="s">
        <v>97</v>
      </c>
      <c r="F7" s="36" t="s">
        <v>428</v>
      </c>
      <c r="G7" s="36" t="s">
        <v>95</v>
      </c>
      <c r="H7" s="449">
        <v>25000000</v>
      </c>
      <c r="I7" s="289" t="s">
        <v>147</v>
      </c>
      <c r="J7" s="449">
        <f>H7</f>
        <v>25000000</v>
      </c>
      <c r="K7" s="67">
        <f>J7</f>
        <v>25000000</v>
      </c>
      <c r="L7" s="365">
        <v>44063</v>
      </c>
      <c r="M7" s="11">
        <f>L7+35</f>
        <v>44098</v>
      </c>
      <c r="N7" s="289">
        <v>25000000</v>
      </c>
      <c r="O7" s="365">
        <f>L7+180</f>
        <v>44243</v>
      </c>
      <c r="P7" s="11"/>
      <c r="R7" s="11"/>
      <c r="S7" s="13" t="s">
        <v>287</v>
      </c>
      <c r="T7" s="474" t="s">
        <v>887</v>
      </c>
    </row>
    <row r="8" spans="1:21" s="13" customFormat="1">
      <c r="A8" s="13" t="s">
        <v>147</v>
      </c>
      <c r="B8" s="13" t="s">
        <v>147</v>
      </c>
      <c r="C8" s="13">
        <v>5248</v>
      </c>
      <c r="D8" s="13" t="s">
        <v>77</v>
      </c>
      <c r="E8" s="13" t="s">
        <v>289</v>
      </c>
      <c r="F8" s="36" t="s">
        <v>684</v>
      </c>
      <c r="G8" s="36" t="s">
        <v>78</v>
      </c>
      <c r="H8" s="449">
        <v>18000000</v>
      </c>
      <c r="I8" s="289" t="s">
        <v>147</v>
      </c>
      <c r="J8" s="449">
        <f t="shared" ref="J8:J36" si="0">H8</f>
        <v>18000000</v>
      </c>
      <c r="K8" s="67">
        <f t="shared" ref="K8:K15" si="1">J8</f>
        <v>18000000</v>
      </c>
      <c r="L8" s="365">
        <v>44063</v>
      </c>
      <c r="M8" s="11">
        <f t="shared" ref="M8:M23" si="2">L8+35</f>
        <v>44098</v>
      </c>
      <c r="N8" s="289">
        <v>18000000</v>
      </c>
      <c r="O8" s="365">
        <f t="shared" ref="O8:O15" si="3">L8+180</f>
        <v>44243</v>
      </c>
      <c r="P8" s="289"/>
      <c r="Q8" s="67"/>
      <c r="R8" s="11"/>
      <c r="S8" s="13" t="s">
        <v>307</v>
      </c>
    </row>
    <row r="9" spans="1:21" s="13" customFormat="1">
      <c r="A9" s="13" t="s">
        <v>147</v>
      </c>
      <c r="B9" s="13" t="s">
        <v>147</v>
      </c>
      <c r="C9" s="13">
        <v>5249</v>
      </c>
      <c r="D9" s="13" t="s">
        <v>77</v>
      </c>
      <c r="E9" s="13" t="s">
        <v>295</v>
      </c>
      <c r="F9" s="36" t="s">
        <v>452</v>
      </c>
      <c r="G9" s="36" t="s">
        <v>444</v>
      </c>
      <c r="H9" s="289">
        <v>30000000</v>
      </c>
      <c r="I9" s="289" t="s">
        <v>147</v>
      </c>
      <c r="J9" s="289">
        <f t="shared" si="0"/>
        <v>30000000</v>
      </c>
      <c r="K9" s="67">
        <f t="shared" si="1"/>
        <v>30000000</v>
      </c>
      <c r="L9" s="365">
        <v>44063</v>
      </c>
      <c r="M9" s="11">
        <f t="shared" si="2"/>
        <v>44098</v>
      </c>
      <c r="N9" s="289">
        <v>30000000</v>
      </c>
      <c r="O9" s="365">
        <f t="shared" si="3"/>
        <v>44243</v>
      </c>
      <c r="P9" s="11"/>
      <c r="S9" s="13" t="s">
        <v>307</v>
      </c>
      <c r="U9" s="437" t="s">
        <v>889</v>
      </c>
    </row>
    <row r="10" spans="1:21" s="13" customFormat="1">
      <c r="A10" s="13" t="s">
        <v>147</v>
      </c>
      <c r="B10" s="13" t="s">
        <v>147</v>
      </c>
      <c r="C10" s="13">
        <v>5250</v>
      </c>
      <c r="D10" s="13" t="s">
        <v>622</v>
      </c>
      <c r="E10" s="13" t="s">
        <v>141</v>
      </c>
      <c r="F10" s="36" t="s">
        <v>707</v>
      </c>
      <c r="G10" s="36" t="s">
        <v>142</v>
      </c>
      <c r="H10" s="449">
        <v>60000000</v>
      </c>
      <c r="I10" s="289" t="s">
        <v>147</v>
      </c>
      <c r="J10" s="449">
        <f t="shared" si="0"/>
        <v>60000000</v>
      </c>
      <c r="K10" s="67">
        <f t="shared" si="1"/>
        <v>60000000</v>
      </c>
      <c r="L10" s="365">
        <v>44063</v>
      </c>
      <c r="M10" s="11">
        <f t="shared" si="2"/>
        <v>44098</v>
      </c>
      <c r="N10" s="289">
        <v>0</v>
      </c>
      <c r="O10" s="365">
        <f t="shared" si="3"/>
        <v>44243</v>
      </c>
      <c r="P10" s="289">
        <v>0</v>
      </c>
      <c r="Q10" s="67">
        <f>K10-N10</f>
        <v>60000000</v>
      </c>
      <c r="R10" s="11">
        <v>44065</v>
      </c>
      <c r="S10" s="13" t="s">
        <v>307</v>
      </c>
    </row>
    <row r="11" spans="1:21" s="13" customFormat="1">
      <c r="A11" s="13" t="s">
        <v>147</v>
      </c>
      <c r="B11" s="13" t="s">
        <v>147</v>
      </c>
      <c r="C11" s="13">
        <v>5251</v>
      </c>
      <c r="D11" s="13" t="s">
        <v>77</v>
      </c>
      <c r="E11" s="13" t="s">
        <v>289</v>
      </c>
      <c r="F11" s="36" t="s">
        <v>424</v>
      </c>
      <c r="G11" s="36" t="s">
        <v>78</v>
      </c>
      <c r="H11" s="449">
        <v>30000000</v>
      </c>
      <c r="I11" s="289" t="s">
        <v>147</v>
      </c>
      <c r="J11" s="449">
        <f t="shared" si="0"/>
        <v>30000000</v>
      </c>
      <c r="K11" s="67">
        <f t="shared" si="1"/>
        <v>30000000</v>
      </c>
      <c r="L11" s="365">
        <v>44063</v>
      </c>
      <c r="M11" s="11">
        <f t="shared" si="2"/>
        <v>44098</v>
      </c>
      <c r="N11" s="289">
        <v>30000000</v>
      </c>
      <c r="O11" s="365">
        <f t="shared" si="3"/>
        <v>44243</v>
      </c>
      <c r="P11" s="11"/>
      <c r="R11" s="11"/>
      <c r="S11" s="13" t="s">
        <v>307</v>
      </c>
      <c r="T11" s="499" t="s">
        <v>886</v>
      </c>
    </row>
    <row r="12" spans="1:21" s="13" customFormat="1">
      <c r="A12" s="13" t="s">
        <v>147</v>
      </c>
      <c r="B12" s="13" t="s">
        <v>147</v>
      </c>
      <c r="C12" s="13">
        <v>5252</v>
      </c>
      <c r="D12" s="13" t="s">
        <v>77</v>
      </c>
      <c r="E12" s="13" t="s">
        <v>98</v>
      </c>
      <c r="F12" s="36" t="s">
        <v>182</v>
      </c>
      <c r="G12" s="36" t="s">
        <v>79</v>
      </c>
      <c r="H12" s="449">
        <v>45000000</v>
      </c>
      <c r="I12" s="289" t="s">
        <v>147</v>
      </c>
      <c r="J12" s="449">
        <f t="shared" si="0"/>
        <v>45000000</v>
      </c>
      <c r="K12" s="67">
        <f t="shared" si="1"/>
        <v>45000000</v>
      </c>
      <c r="L12" s="365">
        <v>44063</v>
      </c>
      <c r="M12" s="11">
        <f t="shared" si="2"/>
        <v>44098</v>
      </c>
      <c r="N12" s="289">
        <v>45000000</v>
      </c>
      <c r="O12" s="365">
        <f t="shared" si="3"/>
        <v>44243</v>
      </c>
      <c r="P12" s="11"/>
      <c r="R12" s="11"/>
      <c r="S12" s="13" t="s">
        <v>287</v>
      </c>
      <c r="T12" s="474" t="s">
        <v>887</v>
      </c>
    </row>
    <row r="13" spans="1:21" s="13" customFormat="1">
      <c r="A13" s="13" t="s">
        <v>147</v>
      </c>
      <c r="B13" s="13" t="s">
        <v>147</v>
      </c>
      <c r="C13" s="13">
        <v>5253</v>
      </c>
      <c r="D13" s="13" t="s">
        <v>77</v>
      </c>
      <c r="E13" s="13" t="s">
        <v>98</v>
      </c>
      <c r="F13" s="36" t="s">
        <v>737</v>
      </c>
      <c r="G13" s="36" t="s">
        <v>79</v>
      </c>
      <c r="H13" s="449">
        <v>40000000</v>
      </c>
      <c r="I13" s="289" t="s">
        <v>147</v>
      </c>
      <c r="J13" s="449">
        <f t="shared" si="0"/>
        <v>40000000</v>
      </c>
      <c r="K13" s="67">
        <f t="shared" si="1"/>
        <v>40000000</v>
      </c>
      <c r="L13" s="365">
        <v>44063</v>
      </c>
      <c r="M13" s="11">
        <f t="shared" si="2"/>
        <v>44098</v>
      </c>
      <c r="N13" s="289">
        <v>40000000</v>
      </c>
      <c r="O13" s="365">
        <f t="shared" si="3"/>
        <v>44243</v>
      </c>
      <c r="P13" s="11"/>
      <c r="R13" s="11"/>
      <c r="S13" s="13" t="s">
        <v>307</v>
      </c>
    </row>
    <row r="14" spans="1:21" s="13" customFormat="1">
      <c r="A14" s="13" t="s">
        <v>147</v>
      </c>
      <c r="B14" s="13" t="s">
        <v>147</v>
      </c>
      <c r="C14" s="13">
        <v>5254</v>
      </c>
      <c r="D14" s="13" t="s">
        <v>77</v>
      </c>
      <c r="E14" s="13" t="s">
        <v>233</v>
      </c>
      <c r="F14" s="36" t="s">
        <v>742</v>
      </c>
      <c r="G14" s="36" t="s">
        <v>79</v>
      </c>
      <c r="H14" s="449">
        <v>50000000</v>
      </c>
      <c r="I14" s="289" t="s">
        <v>147</v>
      </c>
      <c r="J14" s="449">
        <f t="shared" si="0"/>
        <v>50000000</v>
      </c>
      <c r="K14" s="67">
        <f t="shared" si="1"/>
        <v>50000000</v>
      </c>
      <c r="L14" s="365">
        <v>44063</v>
      </c>
      <c r="M14" s="11">
        <f t="shared" si="2"/>
        <v>44098</v>
      </c>
      <c r="N14" s="289">
        <v>50000000</v>
      </c>
      <c r="O14" s="365">
        <f t="shared" si="3"/>
        <v>44243</v>
      </c>
      <c r="P14" s="11"/>
      <c r="R14" s="11"/>
      <c r="S14" s="13" t="s">
        <v>307</v>
      </c>
    </row>
    <row r="15" spans="1:21" s="13" customFormat="1">
      <c r="A15" s="13" t="s">
        <v>147</v>
      </c>
      <c r="B15" s="13" t="s">
        <v>147</v>
      </c>
      <c r="C15" s="13">
        <v>5255</v>
      </c>
      <c r="D15" s="13" t="s">
        <v>77</v>
      </c>
      <c r="E15" s="13" t="s">
        <v>233</v>
      </c>
      <c r="F15" s="36" t="s">
        <v>744</v>
      </c>
      <c r="G15" s="36" t="s">
        <v>79</v>
      </c>
      <c r="H15" s="449">
        <v>50000000</v>
      </c>
      <c r="I15" s="289" t="s">
        <v>147</v>
      </c>
      <c r="J15" s="449">
        <f t="shared" si="0"/>
        <v>50000000</v>
      </c>
      <c r="K15" s="67">
        <f t="shared" si="1"/>
        <v>50000000</v>
      </c>
      <c r="L15" s="365">
        <v>44063</v>
      </c>
      <c r="M15" s="11">
        <f t="shared" si="2"/>
        <v>44098</v>
      </c>
      <c r="N15" s="289">
        <v>50000000</v>
      </c>
      <c r="O15" s="365">
        <f t="shared" si="3"/>
        <v>44243</v>
      </c>
      <c r="P15" s="11"/>
      <c r="R15" s="11"/>
      <c r="S15" s="13" t="s">
        <v>307</v>
      </c>
    </row>
    <row r="16" spans="1:21" s="437" customFormat="1">
      <c r="A16" s="437" t="s">
        <v>147</v>
      </c>
      <c r="B16" s="437" t="s">
        <v>147</v>
      </c>
      <c r="C16" s="437">
        <v>5256</v>
      </c>
      <c r="D16" s="437" t="s">
        <v>622</v>
      </c>
      <c r="E16" s="437" t="s">
        <v>83</v>
      </c>
      <c r="F16" s="438" t="s">
        <v>537</v>
      </c>
      <c r="G16" s="438" t="s">
        <v>538</v>
      </c>
      <c r="H16" s="489">
        <v>100000000</v>
      </c>
      <c r="I16" s="359" t="s">
        <v>147</v>
      </c>
      <c r="J16" s="489">
        <f t="shared" si="0"/>
        <v>100000000</v>
      </c>
      <c r="K16" s="489">
        <v>100000000</v>
      </c>
      <c r="L16" s="542">
        <v>44068</v>
      </c>
      <c r="M16" s="440">
        <f t="shared" si="2"/>
        <v>44103</v>
      </c>
      <c r="N16" s="359">
        <v>100000000</v>
      </c>
      <c r="O16" s="542">
        <f>L16+150</f>
        <v>44218</v>
      </c>
      <c r="P16" s="359">
        <v>0</v>
      </c>
      <c r="Q16" s="547">
        <f>N16-P16</f>
        <v>100000000</v>
      </c>
      <c r="R16" s="440">
        <v>44147</v>
      </c>
      <c r="S16" s="437" t="s">
        <v>147</v>
      </c>
    </row>
    <row r="17" spans="1:20" s="5" customFormat="1">
      <c r="A17" s="5" t="s">
        <v>147</v>
      </c>
      <c r="B17" s="5" t="s">
        <v>147</v>
      </c>
      <c r="C17" s="5">
        <v>5257</v>
      </c>
      <c r="D17" s="5" t="s">
        <v>607</v>
      </c>
      <c r="E17" s="5" t="s">
        <v>155</v>
      </c>
      <c r="F17" s="26" t="s">
        <v>544</v>
      </c>
      <c r="G17" s="26" t="s">
        <v>81</v>
      </c>
      <c r="H17" s="357">
        <v>27000000</v>
      </c>
      <c r="I17" s="352" t="s">
        <v>147</v>
      </c>
      <c r="J17" s="357">
        <f t="shared" si="0"/>
        <v>27000000</v>
      </c>
      <c r="K17" s="357">
        <v>27000000</v>
      </c>
      <c r="L17" s="535">
        <v>44068</v>
      </c>
      <c r="M17" s="6">
        <f t="shared" si="2"/>
        <v>44103</v>
      </c>
      <c r="N17" s="352">
        <v>27000000</v>
      </c>
      <c r="O17" s="535">
        <f>L17+180</f>
        <v>44248</v>
      </c>
      <c r="P17" s="6"/>
      <c r="R17" s="6"/>
      <c r="S17" s="5" t="s">
        <v>307</v>
      </c>
    </row>
    <row r="18" spans="1:20" s="5" customFormat="1">
      <c r="A18" s="5" t="s">
        <v>147</v>
      </c>
      <c r="B18" s="5" t="s">
        <v>147</v>
      </c>
      <c r="C18" s="5">
        <v>5258</v>
      </c>
      <c r="D18" s="5" t="s">
        <v>607</v>
      </c>
      <c r="E18" s="5" t="s">
        <v>756</v>
      </c>
      <c r="F18" s="26" t="s">
        <v>458</v>
      </c>
      <c r="G18" s="26" t="s">
        <v>757</v>
      </c>
      <c r="H18" s="357">
        <v>35000000</v>
      </c>
      <c r="I18" s="352" t="s">
        <v>147</v>
      </c>
      <c r="J18" s="357">
        <f t="shared" si="0"/>
        <v>35000000</v>
      </c>
      <c r="K18" s="357">
        <v>35000000</v>
      </c>
      <c r="L18" s="535">
        <v>44068</v>
      </c>
      <c r="M18" s="6">
        <f t="shared" si="2"/>
        <v>44103</v>
      </c>
      <c r="N18" s="352">
        <v>35000000</v>
      </c>
      <c r="O18" s="535">
        <f>L18+180</f>
        <v>44248</v>
      </c>
      <c r="P18" s="6"/>
      <c r="R18" s="6"/>
      <c r="S18" s="5" t="s">
        <v>307</v>
      </c>
    </row>
    <row r="19" spans="1:20" s="13" customFormat="1">
      <c r="A19" s="13" t="s">
        <v>147</v>
      </c>
      <c r="B19" s="13" t="s">
        <v>147</v>
      </c>
      <c r="C19" s="13">
        <v>5259</v>
      </c>
      <c r="D19" s="13" t="s">
        <v>77</v>
      </c>
      <c r="E19" s="13" t="s">
        <v>323</v>
      </c>
      <c r="F19" s="36" t="s">
        <v>543</v>
      </c>
      <c r="G19" s="36" t="s">
        <v>78</v>
      </c>
      <c r="H19" s="449">
        <v>35000000</v>
      </c>
      <c r="I19" s="289" t="s">
        <v>147</v>
      </c>
      <c r="J19" s="449">
        <f t="shared" si="0"/>
        <v>35000000</v>
      </c>
      <c r="K19" s="449">
        <v>35000000</v>
      </c>
      <c r="L19" s="365">
        <v>44082</v>
      </c>
      <c r="M19" s="11">
        <f t="shared" si="2"/>
        <v>44117</v>
      </c>
      <c r="N19" s="289">
        <v>35000000</v>
      </c>
      <c r="O19" s="365">
        <f>L19+180</f>
        <v>44262</v>
      </c>
      <c r="P19" s="11"/>
      <c r="R19" s="11"/>
      <c r="S19" s="13" t="s">
        <v>219</v>
      </c>
      <c r="T19" s="499" t="s">
        <v>894</v>
      </c>
    </row>
    <row r="20" spans="1:20" s="5" customFormat="1">
      <c r="A20" s="5" t="s">
        <v>147</v>
      </c>
      <c r="B20" s="5" t="s">
        <v>147</v>
      </c>
      <c r="C20" s="5">
        <v>5260</v>
      </c>
      <c r="D20" s="5" t="s">
        <v>607</v>
      </c>
      <c r="E20" s="5" t="s">
        <v>308</v>
      </c>
      <c r="F20" s="26" t="s">
        <v>768</v>
      </c>
      <c r="G20" s="26" t="s">
        <v>343</v>
      </c>
      <c r="H20" s="357">
        <v>35000000</v>
      </c>
      <c r="I20" s="352" t="s">
        <v>147</v>
      </c>
      <c r="J20" s="357">
        <f t="shared" si="0"/>
        <v>35000000</v>
      </c>
      <c r="K20" s="357">
        <v>35000000</v>
      </c>
      <c r="L20" s="535">
        <v>44082</v>
      </c>
      <c r="M20" s="6">
        <f t="shared" si="2"/>
        <v>44117</v>
      </c>
      <c r="N20" s="352">
        <v>35000000</v>
      </c>
      <c r="O20" s="535">
        <f>L20+180</f>
        <v>44262</v>
      </c>
      <c r="P20" s="6"/>
      <c r="R20" s="142"/>
      <c r="S20" s="5" t="s">
        <v>307</v>
      </c>
    </row>
    <row r="21" spans="1:20" s="437" customFormat="1">
      <c r="A21" s="437" t="s">
        <v>147</v>
      </c>
      <c r="B21" s="437" t="s">
        <v>147</v>
      </c>
      <c r="C21" s="437">
        <v>5261</v>
      </c>
      <c r="D21" s="437" t="s">
        <v>622</v>
      </c>
      <c r="E21" s="437" t="s">
        <v>83</v>
      </c>
      <c r="F21" s="438" t="s">
        <v>775</v>
      </c>
      <c r="G21" s="438" t="s">
        <v>776</v>
      </c>
      <c r="H21" s="489">
        <v>50000000</v>
      </c>
      <c r="I21" s="359" t="s">
        <v>147</v>
      </c>
      <c r="J21" s="489">
        <f t="shared" si="0"/>
        <v>50000000</v>
      </c>
      <c r="K21" s="489">
        <v>50000000</v>
      </c>
      <c r="L21" s="542">
        <v>44089</v>
      </c>
      <c r="M21" s="440">
        <f t="shared" si="2"/>
        <v>44124</v>
      </c>
      <c r="N21" s="489">
        <v>50000000</v>
      </c>
      <c r="O21" s="542">
        <f>L21+150</f>
        <v>44239</v>
      </c>
      <c r="P21" s="489">
        <v>0</v>
      </c>
      <c r="Q21" s="489">
        <f>N21-P21</f>
        <v>50000000</v>
      </c>
      <c r="R21" s="440">
        <v>44182</v>
      </c>
      <c r="S21" s="437" t="s">
        <v>147</v>
      </c>
    </row>
    <row r="22" spans="1:20" s="5" customFormat="1">
      <c r="A22" s="5" t="s">
        <v>147</v>
      </c>
      <c r="B22" s="5" t="s">
        <v>147</v>
      </c>
      <c r="C22" s="5">
        <v>5263</v>
      </c>
      <c r="D22" s="5" t="s">
        <v>607</v>
      </c>
      <c r="E22" s="5" t="s">
        <v>155</v>
      </c>
      <c r="F22" s="26" t="s">
        <v>779</v>
      </c>
      <c r="G22" s="26" t="s">
        <v>81</v>
      </c>
      <c r="H22" s="357">
        <v>40000000</v>
      </c>
      <c r="I22" s="352" t="s">
        <v>147</v>
      </c>
      <c r="J22" s="357">
        <f t="shared" si="0"/>
        <v>40000000</v>
      </c>
      <c r="K22" s="357">
        <f>J22</f>
        <v>40000000</v>
      </c>
      <c r="L22" s="535">
        <v>44135</v>
      </c>
      <c r="M22" s="6">
        <f t="shared" si="2"/>
        <v>44170</v>
      </c>
      <c r="N22" s="357">
        <v>40000000</v>
      </c>
      <c r="O22" s="535">
        <f>L22+180</f>
        <v>44315</v>
      </c>
      <c r="P22" s="357"/>
      <c r="Q22" s="357"/>
      <c r="R22" s="6"/>
      <c r="S22" s="5" t="s">
        <v>307</v>
      </c>
    </row>
    <row r="23" spans="1:20" s="508" customFormat="1">
      <c r="A23" s="508" t="s">
        <v>147</v>
      </c>
      <c r="B23" s="508" t="s">
        <v>147</v>
      </c>
      <c r="C23" s="508">
        <v>5268</v>
      </c>
      <c r="D23" s="508" t="s">
        <v>77</v>
      </c>
      <c r="E23" s="508" t="s">
        <v>83</v>
      </c>
      <c r="F23" s="559" t="s">
        <v>532</v>
      </c>
      <c r="G23" s="559" t="s">
        <v>82</v>
      </c>
      <c r="H23" s="560">
        <v>99275400.870000005</v>
      </c>
      <c r="I23" s="561" t="s">
        <v>147</v>
      </c>
      <c r="J23" s="560">
        <f t="shared" si="0"/>
        <v>99275400.870000005</v>
      </c>
      <c r="K23" s="560">
        <f>J23</f>
        <v>99275400.870000005</v>
      </c>
      <c r="L23" s="562">
        <v>44149</v>
      </c>
      <c r="M23" s="563">
        <f t="shared" si="2"/>
        <v>44184</v>
      </c>
      <c r="N23" s="564">
        <v>99275000</v>
      </c>
      <c r="O23" s="562">
        <f>L23+150</f>
        <v>44299</v>
      </c>
      <c r="P23" s="564"/>
      <c r="Q23" s="560">
        <f>K23-N23</f>
        <v>400.87000000476837</v>
      </c>
      <c r="R23" s="563">
        <v>44175</v>
      </c>
      <c r="S23" s="508" t="s">
        <v>147</v>
      </c>
    </row>
    <row r="24" spans="1:20" s="13" customFormat="1">
      <c r="A24" s="13" t="s">
        <v>147</v>
      </c>
      <c r="B24" s="13" t="s">
        <v>147</v>
      </c>
      <c r="C24" s="13" t="s">
        <v>783</v>
      </c>
      <c r="D24" s="13" t="s">
        <v>622</v>
      </c>
      <c r="E24" s="13" t="s">
        <v>141</v>
      </c>
      <c r="F24" s="36" t="s">
        <v>784</v>
      </c>
      <c r="G24" s="36" t="s">
        <v>313</v>
      </c>
      <c r="H24" s="449">
        <v>0</v>
      </c>
      <c r="I24" s="289" t="s">
        <v>147</v>
      </c>
      <c r="J24" s="449">
        <f t="shared" si="0"/>
        <v>0</v>
      </c>
      <c r="K24" s="449"/>
      <c r="L24" s="365"/>
      <c r="M24" s="11"/>
      <c r="N24" s="449"/>
      <c r="O24" s="365"/>
      <c r="P24" s="449"/>
      <c r="Q24" s="449"/>
      <c r="R24" s="93"/>
      <c r="S24" s="13" t="s">
        <v>307</v>
      </c>
    </row>
    <row r="25" spans="1:20" s="437" customFormat="1">
      <c r="A25" s="437" t="s">
        <v>147</v>
      </c>
      <c r="B25" s="437" t="s">
        <v>147</v>
      </c>
      <c r="C25" s="437" t="s">
        <v>789</v>
      </c>
      <c r="D25" s="437" t="s">
        <v>622</v>
      </c>
      <c r="E25" s="437" t="s">
        <v>247</v>
      </c>
      <c r="F25" s="438" t="s">
        <v>327</v>
      </c>
      <c r="G25" s="438" t="s">
        <v>248</v>
      </c>
      <c r="H25" s="489">
        <v>0</v>
      </c>
      <c r="I25" s="359" t="s">
        <v>147</v>
      </c>
      <c r="J25" s="489">
        <f t="shared" si="0"/>
        <v>0</v>
      </c>
      <c r="K25" s="489"/>
      <c r="L25" s="542"/>
      <c r="M25" s="440"/>
      <c r="N25" s="558"/>
      <c r="O25" s="542"/>
      <c r="P25" s="489"/>
      <c r="Q25" s="489"/>
      <c r="R25" s="440"/>
      <c r="S25" s="437" t="s">
        <v>147</v>
      </c>
    </row>
    <row r="26" spans="1:20" s="13" customFormat="1">
      <c r="A26" s="13" t="s">
        <v>147</v>
      </c>
      <c r="B26" s="13" t="s">
        <v>147</v>
      </c>
      <c r="C26" s="13" t="s">
        <v>809</v>
      </c>
      <c r="D26" s="13" t="s">
        <v>43</v>
      </c>
      <c r="E26" s="13" t="s">
        <v>98</v>
      </c>
      <c r="F26" s="36" t="s">
        <v>810</v>
      </c>
      <c r="G26" s="36" t="s">
        <v>79</v>
      </c>
      <c r="H26" s="449">
        <v>40000000</v>
      </c>
      <c r="I26" s="289" t="s">
        <v>147</v>
      </c>
      <c r="J26" s="449">
        <f t="shared" si="0"/>
        <v>40000000</v>
      </c>
      <c r="K26" s="449"/>
      <c r="L26" s="365"/>
      <c r="M26" s="11"/>
      <c r="N26" s="449"/>
      <c r="O26" s="365"/>
      <c r="P26" s="449"/>
      <c r="Q26" s="449"/>
      <c r="R26" s="93"/>
      <c r="S26" s="13" t="s">
        <v>307</v>
      </c>
    </row>
    <row r="27" spans="1:20" s="13" customFormat="1">
      <c r="A27" s="13" t="s">
        <v>147</v>
      </c>
      <c r="B27" s="13" t="s">
        <v>147</v>
      </c>
      <c r="C27" s="13" t="s">
        <v>811</v>
      </c>
      <c r="D27" s="13" t="s">
        <v>43</v>
      </c>
      <c r="E27" s="13" t="s">
        <v>98</v>
      </c>
      <c r="F27" s="36" t="s">
        <v>812</v>
      </c>
      <c r="G27" s="36" t="s">
        <v>79</v>
      </c>
      <c r="H27" s="449">
        <v>50000000</v>
      </c>
      <c r="I27" s="289" t="s">
        <v>147</v>
      </c>
      <c r="J27" s="449">
        <f t="shared" si="0"/>
        <v>50000000</v>
      </c>
      <c r="K27" s="449"/>
      <c r="L27" s="365"/>
      <c r="M27" s="11"/>
      <c r="N27" s="449"/>
      <c r="O27" s="365"/>
      <c r="P27" s="449"/>
      <c r="Q27" s="449"/>
      <c r="R27" s="93"/>
      <c r="S27" s="13" t="s">
        <v>307</v>
      </c>
    </row>
    <row r="28" spans="1:20" s="437" customFormat="1">
      <c r="A28" s="437" t="s">
        <v>147</v>
      </c>
      <c r="B28" s="437" t="s">
        <v>147</v>
      </c>
      <c r="C28" s="437" t="s">
        <v>857</v>
      </c>
      <c r="D28" s="437" t="s">
        <v>43</v>
      </c>
      <c r="E28" s="437" t="s">
        <v>579</v>
      </c>
      <c r="F28" s="438" t="s">
        <v>580</v>
      </c>
      <c r="G28" s="438" t="s">
        <v>581</v>
      </c>
      <c r="H28" s="489">
        <v>100000000</v>
      </c>
      <c r="I28" s="359" t="s">
        <v>147</v>
      </c>
      <c r="J28" s="489">
        <f t="shared" si="0"/>
        <v>100000000</v>
      </c>
      <c r="K28" s="489"/>
      <c r="L28" s="542"/>
      <c r="M28" s="440"/>
      <c r="N28" s="489"/>
      <c r="O28" s="542"/>
      <c r="P28" s="489"/>
      <c r="Q28" s="489"/>
      <c r="R28" s="440"/>
      <c r="S28" s="437" t="s">
        <v>147</v>
      </c>
    </row>
    <row r="29" spans="1:20" s="13" customFormat="1">
      <c r="A29" s="13" t="s">
        <v>147</v>
      </c>
      <c r="B29" s="13" t="s">
        <v>147</v>
      </c>
      <c r="C29" s="13" t="s">
        <v>858</v>
      </c>
      <c r="D29" s="13" t="s">
        <v>43</v>
      </c>
      <c r="E29" s="13" t="s">
        <v>697</v>
      </c>
      <c r="F29" s="36" t="s">
        <v>698</v>
      </c>
      <c r="G29" s="36" t="s">
        <v>149</v>
      </c>
      <c r="H29" s="449">
        <v>15000000</v>
      </c>
      <c r="I29" s="289" t="s">
        <v>147</v>
      </c>
      <c r="J29" s="449">
        <f t="shared" si="0"/>
        <v>15000000</v>
      </c>
      <c r="K29" s="449"/>
      <c r="L29" s="365"/>
      <c r="M29" s="11"/>
      <c r="N29" s="449"/>
      <c r="O29" s="365"/>
      <c r="P29" s="449"/>
      <c r="Q29" s="449"/>
      <c r="R29" s="93"/>
      <c r="S29" s="13" t="s">
        <v>307</v>
      </c>
    </row>
    <row r="30" spans="1:20" s="13" customFormat="1">
      <c r="A30" s="13" t="s">
        <v>147</v>
      </c>
      <c r="B30" s="13" t="s">
        <v>147</v>
      </c>
      <c r="C30" s="13" t="s">
        <v>860</v>
      </c>
      <c r="D30" s="13" t="s">
        <v>43</v>
      </c>
      <c r="E30" s="13" t="s">
        <v>295</v>
      </c>
      <c r="F30" s="36" t="s">
        <v>861</v>
      </c>
      <c r="G30" s="36" t="s">
        <v>862</v>
      </c>
      <c r="H30" s="449">
        <v>22500000</v>
      </c>
      <c r="I30" s="289" t="s">
        <v>147</v>
      </c>
      <c r="J30" s="449">
        <f t="shared" si="0"/>
        <v>22500000</v>
      </c>
      <c r="K30" s="449"/>
      <c r="L30" s="365"/>
      <c r="M30" s="11"/>
      <c r="N30" s="449"/>
      <c r="O30" s="365"/>
      <c r="P30" s="449"/>
      <c r="Q30" s="449"/>
      <c r="R30" s="93"/>
      <c r="S30" s="13" t="s">
        <v>307</v>
      </c>
    </row>
    <row r="31" spans="1:20" s="13" customFormat="1">
      <c r="A31" s="13" t="s">
        <v>147</v>
      </c>
      <c r="B31" s="13" t="s">
        <v>147</v>
      </c>
      <c r="C31" s="13" t="s">
        <v>863</v>
      </c>
      <c r="D31" s="13" t="s">
        <v>43</v>
      </c>
      <c r="E31" s="13" t="s">
        <v>141</v>
      </c>
      <c r="F31" s="36" t="s">
        <v>480</v>
      </c>
      <c r="G31" s="36" t="s">
        <v>485</v>
      </c>
      <c r="H31" s="449">
        <v>64819515</v>
      </c>
      <c r="I31" s="289" t="s">
        <v>147</v>
      </c>
      <c r="J31" s="449">
        <f t="shared" si="0"/>
        <v>64819515</v>
      </c>
      <c r="K31" s="449"/>
      <c r="L31" s="365"/>
      <c r="M31" s="11"/>
      <c r="N31" s="449"/>
      <c r="O31" s="365"/>
      <c r="P31" s="449"/>
      <c r="Q31" s="449"/>
      <c r="R31" s="93"/>
      <c r="S31" s="13" t="s">
        <v>287</v>
      </c>
    </row>
    <row r="32" spans="1:20" s="13" customFormat="1">
      <c r="A32" s="13" t="s">
        <v>147</v>
      </c>
      <c r="B32" s="13" t="s">
        <v>147</v>
      </c>
      <c r="C32" s="13" t="s">
        <v>859</v>
      </c>
      <c r="D32" s="13" t="s">
        <v>43</v>
      </c>
      <c r="E32" s="13" t="s">
        <v>233</v>
      </c>
      <c r="F32" s="36" t="s">
        <v>870</v>
      </c>
      <c r="G32" s="36" t="s">
        <v>79</v>
      </c>
      <c r="H32" s="449">
        <v>8000000</v>
      </c>
      <c r="I32" s="289" t="s">
        <v>147</v>
      </c>
      <c r="J32" s="449">
        <f t="shared" si="0"/>
        <v>8000000</v>
      </c>
      <c r="K32" s="449"/>
      <c r="L32" s="365"/>
      <c r="M32" s="11"/>
      <c r="N32" s="449"/>
      <c r="O32" s="365"/>
      <c r="P32" s="449"/>
      <c r="Q32" s="449"/>
      <c r="R32" s="93"/>
      <c r="S32" s="13" t="s">
        <v>307</v>
      </c>
    </row>
    <row r="33" spans="1:21" s="13" customFormat="1">
      <c r="A33" s="13" t="s">
        <v>147</v>
      </c>
      <c r="B33" s="13" t="s">
        <v>147</v>
      </c>
      <c r="C33" s="13" t="s">
        <v>867</v>
      </c>
      <c r="D33" s="13" t="s">
        <v>43</v>
      </c>
      <c r="E33" s="13" t="s">
        <v>233</v>
      </c>
      <c r="F33" s="36" t="s">
        <v>869</v>
      </c>
      <c r="G33" s="36" t="s">
        <v>337</v>
      </c>
      <c r="H33" s="449">
        <v>8500000</v>
      </c>
      <c r="I33" s="289" t="s">
        <v>147</v>
      </c>
      <c r="J33" s="449">
        <f t="shared" si="0"/>
        <v>8500000</v>
      </c>
      <c r="K33" s="449"/>
      <c r="L33" s="365"/>
      <c r="M33" s="11"/>
      <c r="N33" s="449"/>
      <c r="O33" s="365"/>
      <c r="P33" s="449"/>
      <c r="Q33" s="449"/>
      <c r="R33" s="93"/>
      <c r="S33" s="13" t="s">
        <v>307</v>
      </c>
    </row>
    <row r="34" spans="1:21" s="13" customFormat="1">
      <c r="A34" s="13" t="s">
        <v>147</v>
      </c>
      <c r="B34" s="13" t="s">
        <v>147</v>
      </c>
      <c r="C34" s="13" t="s">
        <v>868</v>
      </c>
      <c r="D34" s="13" t="s">
        <v>43</v>
      </c>
      <c r="E34" s="13" t="s">
        <v>314</v>
      </c>
      <c r="F34" s="36" t="s">
        <v>534</v>
      </c>
      <c r="G34" s="36" t="s">
        <v>79</v>
      </c>
      <c r="H34" s="449">
        <v>35000000</v>
      </c>
      <c r="I34" s="289" t="s">
        <v>147</v>
      </c>
      <c r="J34" s="449">
        <f t="shared" si="0"/>
        <v>35000000</v>
      </c>
      <c r="K34" s="449"/>
      <c r="L34" s="365"/>
      <c r="M34" s="11"/>
      <c r="N34" s="449"/>
      <c r="O34" s="365"/>
      <c r="P34" s="449"/>
      <c r="Q34" s="449"/>
      <c r="R34" s="11"/>
      <c r="S34" s="13" t="s">
        <v>219</v>
      </c>
    </row>
    <row r="35" spans="1:21" s="13" customFormat="1">
      <c r="A35" s="13" t="s">
        <v>147</v>
      </c>
      <c r="B35" s="13" t="s">
        <v>147</v>
      </c>
      <c r="C35" s="13" t="s">
        <v>877</v>
      </c>
      <c r="D35" s="13" t="s">
        <v>43</v>
      </c>
      <c r="E35" s="13" t="s">
        <v>244</v>
      </c>
      <c r="F35" s="36" t="s">
        <v>325</v>
      </c>
      <c r="G35" s="36" t="s">
        <v>142</v>
      </c>
      <c r="H35" s="449">
        <v>40000000</v>
      </c>
      <c r="I35" s="289" t="s">
        <v>147</v>
      </c>
      <c r="J35" s="449">
        <f t="shared" si="0"/>
        <v>40000000</v>
      </c>
      <c r="K35" s="449"/>
      <c r="L35" s="365"/>
      <c r="M35" s="11"/>
      <c r="N35" s="449"/>
      <c r="O35" s="365"/>
      <c r="P35" s="449"/>
      <c r="Q35" s="449"/>
      <c r="R35" s="11"/>
      <c r="S35" s="13" t="s">
        <v>307</v>
      </c>
    </row>
    <row r="36" spans="1:21" s="437" customFormat="1">
      <c r="A36" s="437" t="s">
        <v>147</v>
      </c>
      <c r="B36" s="437" t="s">
        <v>147</v>
      </c>
      <c r="C36" s="437" t="s">
        <v>878</v>
      </c>
      <c r="D36" s="437" t="s">
        <v>43</v>
      </c>
      <c r="E36" s="437" t="s">
        <v>83</v>
      </c>
      <c r="F36" s="438" t="s">
        <v>879</v>
      </c>
      <c r="G36" s="438" t="s">
        <v>880</v>
      </c>
      <c r="H36" s="489">
        <v>100000000</v>
      </c>
      <c r="I36" s="359" t="s">
        <v>147</v>
      </c>
      <c r="J36" s="489">
        <f t="shared" si="0"/>
        <v>100000000</v>
      </c>
      <c r="K36" s="489"/>
      <c r="L36" s="542"/>
      <c r="M36" s="440"/>
      <c r="N36" s="489"/>
      <c r="O36" s="542"/>
      <c r="P36" s="489"/>
      <c r="Q36" s="489"/>
      <c r="R36" s="440"/>
      <c r="S36" s="437" t="s">
        <v>147</v>
      </c>
    </row>
    <row r="37" spans="1:21" s="529" customFormat="1" ht="12.75">
      <c r="A37" s="529" t="s">
        <v>147</v>
      </c>
      <c r="B37" s="529" t="s">
        <v>147</v>
      </c>
      <c r="C37" s="529" t="s">
        <v>882</v>
      </c>
      <c r="D37" s="529" t="s">
        <v>622</v>
      </c>
      <c r="E37" s="530" t="s">
        <v>76</v>
      </c>
      <c r="F37" s="530" t="s">
        <v>269</v>
      </c>
      <c r="G37" s="530" t="s">
        <v>154</v>
      </c>
      <c r="H37" s="531">
        <v>0</v>
      </c>
      <c r="I37" s="532" t="s">
        <v>147</v>
      </c>
      <c r="J37" s="531">
        <f>H37</f>
        <v>0</v>
      </c>
      <c r="K37" s="531"/>
      <c r="L37" s="533"/>
      <c r="M37" s="533"/>
      <c r="N37" s="531"/>
      <c r="O37" s="533"/>
      <c r="P37" s="531"/>
      <c r="Q37" s="531"/>
      <c r="R37" s="533"/>
      <c r="S37" s="529" t="s">
        <v>147</v>
      </c>
      <c r="T37" s="534"/>
    </row>
    <row r="38" spans="1:21" s="529" customFormat="1" ht="12.75">
      <c r="A38" s="529" t="s">
        <v>147</v>
      </c>
      <c r="B38" s="529" t="s">
        <v>147</v>
      </c>
      <c r="C38" s="529" t="s">
        <v>890</v>
      </c>
      <c r="D38" s="529" t="s">
        <v>43</v>
      </c>
      <c r="E38" s="530" t="s">
        <v>152</v>
      </c>
      <c r="F38" s="530" t="s">
        <v>842</v>
      </c>
      <c r="G38" s="530" t="s">
        <v>154</v>
      </c>
      <c r="H38" s="531">
        <v>335863902</v>
      </c>
      <c r="I38" s="532" t="s">
        <v>147</v>
      </c>
      <c r="J38" s="531">
        <f>H38</f>
        <v>335863902</v>
      </c>
      <c r="K38" s="531"/>
      <c r="L38" s="533"/>
      <c r="M38" s="533"/>
      <c r="N38" s="531"/>
      <c r="O38" s="533"/>
      <c r="P38" s="531"/>
      <c r="Q38" s="531"/>
      <c r="R38" s="533"/>
      <c r="S38" s="529" t="s">
        <v>147</v>
      </c>
      <c r="T38" s="534"/>
    </row>
    <row r="39" spans="1:21" s="437" customFormat="1">
      <c r="A39" s="437" t="s">
        <v>147</v>
      </c>
      <c r="B39" s="437" t="s">
        <v>147</v>
      </c>
      <c r="C39" s="437">
        <v>5262</v>
      </c>
      <c r="D39" s="437" t="s">
        <v>632</v>
      </c>
      <c r="E39" s="437" t="s">
        <v>315</v>
      </c>
      <c r="F39" s="438" t="s">
        <v>891</v>
      </c>
      <c r="G39" s="438" t="s">
        <v>892</v>
      </c>
      <c r="H39" s="489">
        <v>8000000</v>
      </c>
      <c r="I39" s="359" t="s">
        <v>147</v>
      </c>
      <c r="J39" s="489">
        <f>H39</f>
        <v>8000000</v>
      </c>
      <c r="K39" s="489">
        <v>8000000</v>
      </c>
      <c r="L39" s="542">
        <v>44092</v>
      </c>
      <c r="M39" s="440">
        <f>L39+35</f>
        <v>44127</v>
      </c>
      <c r="N39" s="489">
        <v>8000000</v>
      </c>
      <c r="O39" s="542">
        <f>L39+150</f>
        <v>44242</v>
      </c>
      <c r="P39" s="489">
        <v>0</v>
      </c>
      <c r="Q39" s="489">
        <f>N39-P39</f>
        <v>8000000</v>
      </c>
      <c r="R39" s="440">
        <v>44107</v>
      </c>
      <c r="S39" s="437" t="s">
        <v>147</v>
      </c>
      <c r="U39" s="437" t="s">
        <v>731</v>
      </c>
    </row>
    <row r="40" spans="1:21" s="13" customFormat="1">
      <c r="A40" s="13" t="s">
        <v>147</v>
      </c>
      <c r="B40" s="13" t="s">
        <v>147</v>
      </c>
      <c r="C40" s="13">
        <v>5264</v>
      </c>
      <c r="D40" s="13" t="s">
        <v>77</v>
      </c>
      <c r="E40" s="13" t="s">
        <v>164</v>
      </c>
      <c r="F40" s="36" t="s">
        <v>907</v>
      </c>
      <c r="G40" s="36" t="s">
        <v>80</v>
      </c>
      <c r="H40" s="449">
        <v>35000000</v>
      </c>
      <c r="I40" s="289" t="s">
        <v>147</v>
      </c>
      <c r="J40" s="449">
        <v>35000000</v>
      </c>
      <c r="K40" s="449">
        <v>35000000</v>
      </c>
      <c r="L40" s="365">
        <v>44142</v>
      </c>
      <c r="M40" s="11">
        <f>L40+35</f>
        <v>44177</v>
      </c>
      <c r="N40" s="449">
        <v>35000000</v>
      </c>
      <c r="O40" s="365">
        <f>L40+180</f>
        <v>44322</v>
      </c>
      <c r="P40" s="449"/>
      <c r="Q40" s="449"/>
      <c r="R40" s="11"/>
      <c r="S40" s="13" t="s">
        <v>307</v>
      </c>
      <c r="U40" s="13" t="s">
        <v>909</v>
      </c>
    </row>
    <row r="41" spans="1:21" s="437" customFormat="1">
      <c r="A41" s="437" t="s">
        <v>147</v>
      </c>
      <c r="B41" s="437" t="s">
        <v>147</v>
      </c>
      <c r="C41" s="437">
        <v>5265</v>
      </c>
      <c r="D41" s="437" t="s">
        <v>632</v>
      </c>
      <c r="E41" s="437" t="s">
        <v>315</v>
      </c>
      <c r="F41" s="438" t="s">
        <v>910</v>
      </c>
      <c r="G41" s="438" t="s">
        <v>911</v>
      </c>
      <c r="H41" s="489">
        <v>13500000</v>
      </c>
      <c r="I41" s="359" t="s">
        <v>147</v>
      </c>
      <c r="J41" s="489">
        <f>H41</f>
        <v>13500000</v>
      </c>
      <c r="K41" s="489">
        <f>J41</f>
        <v>13500000</v>
      </c>
      <c r="L41" s="542">
        <v>44146</v>
      </c>
      <c r="M41" s="440">
        <f>L41+35</f>
        <v>44181</v>
      </c>
      <c r="N41" s="489">
        <v>13500000</v>
      </c>
      <c r="O41" s="542">
        <f>L41+150</f>
        <v>44296</v>
      </c>
      <c r="P41" s="489">
        <v>0</v>
      </c>
      <c r="Q41" s="489">
        <f>N41-P41</f>
        <v>13500000</v>
      </c>
      <c r="R41" s="440">
        <v>44166</v>
      </c>
      <c r="S41" s="437" t="s">
        <v>147</v>
      </c>
      <c r="U41" s="437" t="s">
        <v>731</v>
      </c>
    </row>
    <row r="42" spans="1:21" s="13" customFormat="1">
      <c r="A42" s="13" t="s">
        <v>147</v>
      </c>
      <c r="B42" s="13" t="s">
        <v>147</v>
      </c>
      <c r="C42" s="13">
        <v>5266</v>
      </c>
      <c r="D42" s="13" t="s">
        <v>77</v>
      </c>
      <c r="E42" s="13" t="s">
        <v>249</v>
      </c>
      <c r="F42" s="36" t="s">
        <v>912</v>
      </c>
      <c r="G42" s="36" t="s">
        <v>95</v>
      </c>
      <c r="H42" s="449">
        <v>52000000</v>
      </c>
      <c r="I42" s="289" t="s">
        <v>147</v>
      </c>
      <c r="J42" s="449">
        <v>52000000</v>
      </c>
      <c r="K42" s="449">
        <f>J42</f>
        <v>52000000</v>
      </c>
      <c r="L42" s="365">
        <v>44146</v>
      </c>
      <c r="M42" s="11">
        <f>L42+35</f>
        <v>44181</v>
      </c>
      <c r="N42" s="449">
        <v>52000000</v>
      </c>
      <c r="O42" s="365">
        <f>L42+180</f>
        <v>44326</v>
      </c>
      <c r="P42" s="449"/>
      <c r="Q42" s="449"/>
      <c r="R42" s="11"/>
      <c r="S42" s="13" t="s">
        <v>307</v>
      </c>
      <c r="U42" s="13" t="s">
        <v>915</v>
      </c>
    </row>
    <row r="43" spans="1:21" s="529" customFormat="1">
      <c r="A43" s="529" t="s">
        <v>147</v>
      </c>
      <c r="B43" s="529" t="s">
        <v>147</v>
      </c>
      <c r="C43" s="529">
        <v>5267</v>
      </c>
      <c r="D43" s="529" t="s">
        <v>77</v>
      </c>
      <c r="E43" s="529" t="s">
        <v>76</v>
      </c>
      <c r="F43" s="530" t="s">
        <v>269</v>
      </c>
      <c r="G43" s="530" t="s">
        <v>154</v>
      </c>
      <c r="H43" s="575">
        <v>162000000</v>
      </c>
      <c r="I43" s="576" t="s">
        <v>147</v>
      </c>
      <c r="J43" s="575">
        <v>162000000</v>
      </c>
      <c r="K43" s="575">
        <v>162000000</v>
      </c>
      <c r="L43" s="577">
        <v>44148</v>
      </c>
      <c r="M43" s="533">
        <f>L43+35</f>
        <v>44183</v>
      </c>
      <c r="N43" s="575">
        <v>162000000</v>
      </c>
      <c r="O43" s="577">
        <f>L43+210</f>
        <v>44358</v>
      </c>
      <c r="P43" s="575"/>
      <c r="Q43" s="575"/>
      <c r="R43" s="533"/>
      <c r="S43" s="529" t="s">
        <v>147</v>
      </c>
      <c r="U43" s="529" t="s">
        <v>918</v>
      </c>
    </row>
    <row r="44" spans="1:21" s="5" customFormat="1" ht="13.5" customHeight="1">
      <c r="H44" s="427"/>
      <c r="I44" s="357"/>
      <c r="J44" s="352"/>
      <c r="K44" s="352"/>
      <c r="L44" s="6"/>
      <c r="M44" s="6"/>
      <c r="N44" s="352"/>
      <c r="O44" s="6"/>
      <c r="P44" s="352"/>
      <c r="Q44" s="52"/>
      <c r="R44" s="6"/>
      <c r="U44" s="388"/>
    </row>
    <row r="45" spans="1:21">
      <c r="C45" s="13"/>
      <c r="E45" s="5"/>
      <c r="F45" s="5" t="s">
        <v>7</v>
      </c>
      <c r="G45" s="5" t="s">
        <v>6</v>
      </c>
      <c r="H45" s="68">
        <f>SUM(H7:H44)</f>
        <v>1859458817.8699999</v>
      </c>
      <c r="I45" s="322"/>
      <c r="J45" s="68">
        <f>SUM(J7:J44)</f>
        <v>1859458817.8699999</v>
      </c>
      <c r="K45" s="68">
        <f>SUM(K7:K44)</f>
        <v>1039775400.87</v>
      </c>
      <c r="L45" s="27"/>
      <c r="M45" s="27"/>
      <c r="N45" s="68">
        <f>SUM(N7:N44)</f>
        <v>979775000</v>
      </c>
      <c r="P45" s="68">
        <f>SUM(P7:P44)</f>
        <v>0</v>
      </c>
      <c r="Q45" s="68">
        <f>SUM(Q7:Q44)</f>
        <v>231500400.87</v>
      </c>
    </row>
    <row r="46" spans="1:21">
      <c r="C46" s="13"/>
      <c r="E46" s="43"/>
      <c r="G46" s="13"/>
      <c r="H46" s="322"/>
      <c r="I46" s="322"/>
      <c r="J46" s="322"/>
      <c r="K46" s="9"/>
      <c r="N46" s="9"/>
      <c r="P46" s="9"/>
      <c r="Q46" s="9"/>
    </row>
    <row r="47" spans="1:21">
      <c r="C47" s="13"/>
      <c r="E47" s="13"/>
      <c r="G47" s="5" t="s">
        <v>43</v>
      </c>
      <c r="H47" s="322">
        <f>J45-K45</f>
        <v>819683416.99999988</v>
      </c>
      <c r="I47" s="322"/>
      <c r="J47" s="322"/>
      <c r="K47" s="9"/>
      <c r="N47" s="9"/>
      <c r="O47" s="7"/>
      <c r="P47" s="9"/>
      <c r="Q47" s="9"/>
    </row>
    <row r="48" spans="1:21">
      <c r="G48" s="13"/>
      <c r="H48" s="9"/>
      <c r="I48" s="9"/>
      <c r="J48" s="9"/>
      <c r="K48" s="9"/>
      <c r="N48" s="83"/>
      <c r="P48" s="9"/>
      <c r="Q48" s="9"/>
    </row>
    <row r="49" spans="1:17">
      <c r="F49" s="140"/>
      <c r="G49" s="5" t="s">
        <v>194</v>
      </c>
      <c r="H49" s="369">
        <f>E1-K45+Q45+G58</f>
        <v>366417722.87</v>
      </c>
      <c r="I49" s="9"/>
      <c r="J49" s="9"/>
      <c r="K49" s="9"/>
      <c r="N49" s="83"/>
      <c r="P49" s="9"/>
      <c r="Q49" s="83"/>
    </row>
    <row r="50" spans="1:17">
      <c r="H50" s="330" t="s">
        <v>397</v>
      </c>
    </row>
    <row r="51" spans="1:17">
      <c r="H51" s="372"/>
      <c r="J51" s="9"/>
    </row>
    <row r="52" spans="1:17">
      <c r="H52" s="2"/>
      <c r="J52" s="9"/>
    </row>
    <row r="53" spans="1:17">
      <c r="A53" s="13"/>
      <c r="B53" s="13"/>
      <c r="C53" s="43"/>
      <c r="D53" s="202"/>
      <c r="E53" s="43"/>
      <c r="F53" s="43"/>
      <c r="G53" s="364"/>
      <c r="H53" s="288"/>
      <c r="I53" s="288"/>
      <c r="M53" s="1"/>
    </row>
    <row r="54" spans="1:17">
      <c r="A54" s="13"/>
      <c r="B54" s="13"/>
      <c r="C54" s="43">
        <v>5071</v>
      </c>
      <c r="D54" s="43" t="s">
        <v>77</v>
      </c>
      <c r="E54" s="148" t="s">
        <v>295</v>
      </c>
      <c r="F54" s="13" t="s">
        <v>94</v>
      </c>
      <c r="G54" s="544">
        <v>18910000</v>
      </c>
      <c r="H54" s="210" t="s">
        <v>888</v>
      </c>
      <c r="I54" s="288"/>
      <c r="M54" s="1"/>
    </row>
    <row r="55" spans="1:17">
      <c r="A55" s="13"/>
      <c r="B55" s="13"/>
      <c r="C55" s="43">
        <v>4895</v>
      </c>
      <c r="D55" s="43" t="s">
        <v>77</v>
      </c>
      <c r="E55" s="148" t="s">
        <v>164</v>
      </c>
      <c r="F55" s="13" t="s">
        <v>344</v>
      </c>
      <c r="G55" s="544">
        <v>35000000</v>
      </c>
      <c r="H55" s="210" t="s">
        <v>908</v>
      </c>
      <c r="I55" s="288"/>
      <c r="M55" s="1"/>
    </row>
    <row r="56" spans="1:17">
      <c r="A56" s="13"/>
      <c r="B56" s="13"/>
      <c r="C56" s="43">
        <v>5079</v>
      </c>
      <c r="D56" s="43" t="s">
        <v>77</v>
      </c>
      <c r="E56" s="148" t="s">
        <v>249</v>
      </c>
      <c r="F56" s="13" t="s">
        <v>94</v>
      </c>
      <c r="G56" s="544">
        <v>52000000</v>
      </c>
      <c r="H56" s="210" t="s">
        <v>914</v>
      </c>
      <c r="I56" s="288"/>
      <c r="M56" s="1"/>
    </row>
    <row r="57" spans="1:17">
      <c r="A57" s="13"/>
      <c r="B57" s="13"/>
      <c r="C57" s="43">
        <v>5058</v>
      </c>
      <c r="D57" s="43" t="s">
        <v>77</v>
      </c>
      <c r="E57" s="148" t="s">
        <v>76</v>
      </c>
      <c r="F57" s="13" t="s">
        <v>269</v>
      </c>
      <c r="G57" s="548">
        <v>162000000</v>
      </c>
      <c r="H57" s="210" t="s">
        <v>917</v>
      </c>
      <c r="I57" s="288"/>
      <c r="M57" s="1"/>
    </row>
    <row r="58" spans="1:17">
      <c r="G58" s="317">
        <f>SUM(G54:G57)</f>
        <v>267910000</v>
      </c>
      <c r="M58" s="1"/>
    </row>
    <row r="60" spans="1:17">
      <c r="J60" s="375"/>
    </row>
    <row r="66" spans="3:6">
      <c r="C66" s="4"/>
      <c r="D66" s="4"/>
      <c r="E66" s="4"/>
      <c r="F66" s="4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65"/>
  <sheetViews>
    <sheetView topLeftCell="B1" zoomScaleNormal="100" workbookViewId="0">
      <selection activeCell="H41" sqref="H41"/>
    </sheetView>
  </sheetViews>
  <sheetFormatPr defaultColWidth="11.42578125" defaultRowHeight="12"/>
  <cols>
    <col min="1" max="1" width="9.42578125" style="1" customWidth="1"/>
    <col min="2" max="2" width="7.140625" style="1" bestFit="1" customWidth="1"/>
    <col min="3" max="3" width="10.140625" style="1" bestFit="1" customWidth="1"/>
    <col min="4" max="4" width="13.28515625" style="1" bestFit="1" customWidth="1"/>
    <col min="5" max="5" width="40.140625" style="1" bestFit="1" customWidth="1"/>
    <col min="6" max="6" width="40.140625" style="1" customWidth="1"/>
    <col min="7" max="7" width="14.85546875" style="1" customWidth="1"/>
    <col min="8" max="8" width="16" style="9" bestFit="1" customWidth="1"/>
    <col min="9" max="9" width="14" style="97" customWidth="1"/>
    <col min="10" max="10" width="14" style="9" customWidth="1"/>
    <col min="11" max="11" width="14.28515625" style="14" customWidth="1"/>
    <col min="12" max="12" width="16.42578125" style="1" customWidth="1"/>
    <col min="13" max="13" width="16.28515625" style="1" bestFit="1" customWidth="1"/>
    <col min="14" max="14" width="16.42578125" style="2" bestFit="1" customWidth="1"/>
    <col min="15" max="15" width="17" style="1" bestFit="1" customWidth="1"/>
    <col min="16" max="16" width="15.28515625" style="122" bestFit="1" customWidth="1"/>
    <col min="17" max="17" width="13.5703125" style="122" customWidth="1"/>
    <col min="18" max="18" width="10.5703125" style="1" bestFit="1" customWidth="1"/>
    <col min="19" max="19" width="38.140625" style="1" bestFit="1" customWidth="1"/>
    <col min="20" max="21" width="11.5703125" style="1" bestFit="1" customWidth="1"/>
    <col min="22" max="16384" width="11.42578125" style="1"/>
  </cols>
  <sheetData>
    <row r="1" spans="1:21" s="24" customFormat="1">
      <c r="A1" s="16" t="s">
        <v>21</v>
      </c>
      <c r="B1" s="292"/>
      <c r="C1" s="292"/>
      <c r="D1" s="17"/>
      <c r="E1" s="389">
        <f>Totals!C8</f>
        <v>1229664322</v>
      </c>
      <c r="F1" s="18"/>
      <c r="G1" s="18"/>
      <c r="H1" s="123"/>
      <c r="I1" s="113"/>
      <c r="J1" s="70"/>
      <c r="K1" s="20"/>
      <c r="L1" s="5" t="s">
        <v>265</v>
      </c>
      <c r="M1" s="5" t="s">
        <v>264</v>
      </c>
      <c r="N1" s="5" t="s">
        <v>272</v>
      </c>
      <c r="O1" s="5" t="s">
        <v>271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263</v>
      </c>
      <c r="M2" s="367">
        <f>ROUND($E$1*0.5666, 0)</f>
        <v>696727805</v>
      </c>
      <c r="N2" s="54">
        <f>M2-P9-P14-SUM(K15:K17)-SUM(K20:K33)</f>
        <v>118111220</v>
      </c>
      <c r="O2" s="54">
        <f>N2-J34</f>
        <v>0</v>
      </c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352</v>
      </c>
      <c r="M3" s="367">
        <f>ROUND($E$1*0.1, 0)</f>
        <v>122966432</v>
      </c>
      <c r="N3" s="54">
        <f>M3-K19</f>
        <v>0</v>
      </c>
      <c r="O3" s="54">
        <f t="shared" ref="O3" si="0">N3</f>
        <v>0</v>
      </c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7">
        <f>ROUND($E$1*0.3334, 0)</f>
        <v>409970085</v>
      </c>
      <c r="N4" s="54">
        <f>M4-K18</f>
        <v>0</v>
      </c>
      <c r="O4" s="54">
        <f>N4</f>
        <v>0</v>
      </c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>
      <c r="A6" s="31" t="s">
        <v>216</v>
      </c>
      <c r="B6" s="5" t="s">
        <v>218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158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217</v>
      </c>
      <c r="B7" s="5" t="s">
        <v>217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5" thickBot="1">
      <c r="A8" s="37"/>
      <c r="B8" s="33"/>
      <c r="C8" s="33" t="s">
        <v>180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2.75">
      <c r="A9" s="13" t="s">
        <v>147</v>
      </c>
      <c r="B9" s="13" t="s">
        <v>147</v>
      </c>
      <c r="C9" s="13">
        <v>5103</v>
      </c>
      <c r="D9" s="13" t="s">
        <v>632</v>
      </c>
      <c r="E9" s="36" t="s">
        <v>598</v>
      </c>
      <c r="F9" s="36" t="s">
        <v>599</v>
      </c>
      <c r="G9" s="36" t="s">
        <v>600</v>
      </c>
      <c r="H9" s="465">
        <v>25000000</v>
      </c>
      <c r="I9" s="466">
        <v>1</v>
      </c>
      <c r="J9" s="465">
        <f>H9*I9</f>
        <v>25000000</v>
      </c>
      <c r="K9" s="465">
        <v>25000000</v>
      </c>
      <c r="L9" s="11">
        <v>43832</v>
      </c>
      <c r="M9" s="11">
        <f t="shared" ref="M9:M15" si="1">L9+35</f>
        <v>43867</v>
      </c>
      <c r="N9" s="465">
        <v>25000000</v>
      </c>
      <c r="O9" s="11">
        <f t="shared" ref="O9:O15" si="2">L9+210</f>
        <v>44042</v>
      </c>
      <c r="P9" s="465">
        <f>N9</f>
        <v>25000000</v>
      </c>
      <c r="Q9" s="465">
        <f>N9-P9</f>
        <v>0</v>
      </c>
      <c r="R9" s="11">
        <v>43845</v>
      </c>
      <c r="T9" s="170"/>
    </row>
    <row r="10" spans="1:21" s="13" customFormat="1" ht="12.75">
      <c r="A10" s="13" t="s">
        <v>147</v>
      </c>
      <c r="B10" s="13" t="s">
        <v>147</v>
      </c>
      <c r="C10" s="13">
        <v>5125</v>
      </c>
      <c r="D10" s="13" t="s">
        <v>632</v>
      </c>
      <c r="E10" s="36" t="s">
        <v>152</v>
      </c>
      <c r="F10" s="36" t="s">
        <v>643</v>
      </c>
      <c r="G10" s="36" t="s">
        <v>154</v>
      </c>
      <c r="H10" s="465">
        <v>60000000</v>
      </c>
      <c r="I10" s="466" t="s">
        <v>147</v>
      </c>
      <c r="J10" s="465">
        <f>H10</f>
        <v>60000000</v>
      </c>
      <c r="K10" s="465">
        <f t="shared" ref="K10:K15" si="3">J10</f>
        <v>60000000</v>
      </c>
      <c r="L10" s="11">
        <v>43852</v>
      </c>
      <c r="M10" s="11">
        <f t="shared" si="1"/>
        <v>43887</v>
      </c>
      <c r="N10" s="465">
        <v>60000000</v>
      </c>
      <c r="O10" s="11">
        <f t="shared" si="2"/>
        <v>44062</v>
      </c>
      <c r="P10" s="465">
        <v>0</v>
      </c>
      <c r="Q10" s="465">
        <f>N10</f>
        <v>60000000</v>
      </c>
      <c r="R10" s="11">
        <v>43902</v>
      </c>
      <c r="S10" s="437" t="s">
        <v>646</v>
      </c>
      <c r="T10" s="170"/>
    </row>
    <row r="11" spans="1:21" s="13" customFormat="1" ht="12.75">
      <c r="A11" s="13" t="s">
        <v>147</v>
      </c>
      <c r="B11" s="13" t="s">
        <v>147</v>
      </c>
      <c r="C11" s="13">
        <v>5126</v>
      </c>
      <c r="D11" s="13" t="s">
        <v>632</v>
      </c>
      <c r="E11" s="36" t="s">
        <v>152</v>
      </c>
      <c r="F11" s="36" t="s">
        <v>644</v>
      </c>
      <c r="G11" s="36" t="s">
        <v>154</v>
      </c>
      <c r="H11" s="465">
        <v>56214444</v>
      </c>
      <c r="I11" s="466" t="s">
        <v>147</v>
      </c>
      <c r="J11" s="465">
        <f>H11</f>
        <v>56214444</v>
      </c>
      <c r="K11" s="465">
        <f t="shared" si="3"/>
        <v>56214444</v>
      </c>
      <c r="L11" s="11">
        <v>43852</v>
      </c>
      <c r="M11" s="11">
        <f t="shared" si="1"/>
        <v>43887</v>
      </c>
      <c r="N11" s="465">
        <f>K11</f>
        <v>56214444</v>
      </c>
      <c r="O11" s="11">
        <f t="shared" si="2"/>
        <v>44062</v>
      </c>
      <c r="P11" s="465">
        <v>0</v>
      </c>
      <c r="Q11" s="465">
        <f>N11</f>
        <v>56214444</v>
      </c>
      <c r="R11" s="11">
        <v>43901</v>
      </c>
      <c r="S11" s="437" t="s">
        <v>646</v>
      </c>
      <c r="T11" s="170"/>
    </row>
    <row r="12" spans="1:21" s="13" customFormat="1" ht="12.75">
      <c r="A12" s="13" t="s">
        <v>147</v>
      </c>
      <c r="B12" s="13" t="s">
        <v>147</v>
      </c>
      <c r="C12" s="13">
        <v>5156</v>
      </c>
      <c r="D12" s="13" t="s">
        <v>632</v>
      </c>
      <c r="E12" s="36" t="s">
        <v>76</v>
      </c>
      <c r="F12" s="36" t="s">
        <v>353</v>
      </c>
      <c r="G12" s="36" t="s">
        <v>154</v>
      </c>
      <c r="H12" s="465">
        <v>162000000</v>
      </c>
      <c r="I12" s="466" t="s">
        <v>147</v>
      </c>
      <c r="J12" s="465">
        <f>H12</f>
        <v>162000000</v>
      </c>
      <c r="K12" s="465">
        <f t="shared" si="3"/>
        <v>162000000</v>
      </c>
      <c r="L12" s="11">
        <v>43880</v>
      </c>
      <c r="M12" s="11">
        <f t="shared" si="1"/>
        <v>43915</v>
      </c>
      <c r="N12" s="495">
        <v>159503894.94999999</v>
      </c>
      <c r="O12" s="11">
        <f t="shared" si="2"/>
        <v>44090</v>
      </c>
      <c r="P12" s="465">
        <v>0</v>
      </c>
      <c r="Q12" s="465">
        <f>K12</f>
        <v>162000000</v>
      </c>
      <c r="R12" s="11">
        <v>43935</v>
      </c>
      <c r="S12" s="437" t="s">
        <v>696</v>
      </c>
      <c r="T12" s="170"/>
    </row>
    <row r="13" spans="1:21" s="13" customFormat="1" ht="12.75">
      <c r="A13" s="13" t="s">
        <v>147</v>
      </c>
      <c r="B13" s="13" t="s">
        <v>147</v>
      </c>
      <c r="C13" s="13">
        <v>5180</v>
      </c>
      <c r="D13" s="13" t="s">
        <v>632</v>
      </c>
      <c r="E13" s="36" t="s">
        <v>76</v>
      </c>
      <c r="F13" s="36" t="s">
        <v>353</v>
      </c>
      <c r="G13" s="36" t="s">
        <v>154</v>
      </c>
      <c r="H13" s="465">
        <v>162000000</v>
      </c>
      <c r="I13" s="466" t="s">
        <v>147</v>
      </c>
      <c r="J13" s="465">
        <f>H13</f>
        <v>162000000</v>
      </c>
      <c r="K13" s="465">
        <f t="shared" si="3"/>
        <v>162000000</v>
      </c>
      <c r="L13" s="11">
        <v>43958</v>
      </c>
      <c r="M13" s="11">
        <f t="shared" si="1"/>
        <v>43993</v>
      </c>
      <c r="N13" s="465">
        <v>162000000</v>
      </c>
      <c r="O13" s="11">
        <f t="shared" si="2"/>
        <v>44168</v>
      </c>
      <c r="P13" s="465">
        <v>0</v>
      </c>
      <c r="Q13" s="465">
        <f>N13-P13</f>
        <v>162000000</v>
      </c>
      <c r="R13" s="11">
        <v>44043</v>
      </c>
      <c r="S13" s="437" t="s">
        <v>765</v>
      </c>
      <c r="T13" s="170"/>
    </row>
    <row r="14" spans="1:21" s="13" customFormat="1" ht="12.75">
      <c r="A14" s="13" t="s">
        <v>147</v>
      </c>
      <c r="B14" s="13" t="s">
        <v>147</v>
      </c>
      <c r="C14" s="13">
        <v>5202</v>
      </c>
      <c r="D14" s="13" t="s">
        <v>632</v>
      </c>
      <c r="E14" s="36" t="s">
        <v>225</v>
      </c>
      <c r="F14" s="36" t="s">
        <v>807</v>
      </c>
      <c r="G14" s="36" t="s">
        <v>226</v>
      </c>
      <c r="H14" s="465">
        <v>33840720</v>
      </c>
      <c r="I14" s="466">
        <v>1</v>
      </c>
      <c r="J14" s="465">
        <f>H14*I14</f>
        <v>33840720</v>
      </c>
      <c r="K14" s="465">
        <f t="shared" si="3"/>
        <v>33840720</v>
      </c>
      <c r="L14" s="11">
        <v>44027</v>
      </c>
      <c r="M14" s="11">
        <f t="shared" si="1"/>
        <v>44062</v>
      </c>
      <c r="N14" s="465">
        <v>33840720</v>
      </c>
      <c r="O14" s="11">
        <f t="shared" si="2"/>
        <v>44237</v>
      </c>
      <c r="P14" s="465">
        <v>33840720</v>
      </c>
      <c r="Q14" s="465">
        <f>N14-P14</f>
        <v>0</v>
      </c>
      <c r="R14" s="11">
        <v>44033</v>
      </c>
      <c r="S14" s="437"/>
      <c r="T14" s="170"/>
    </row>
    <row r="15" spans="1:21" s="13" customFormat="1" ht="12.75">
      <c r="A15" s="13" t="s">
        <v>147</v>
      </c>
      <c r="B15" s="13" t="s">
        <v>147</v>
      </c>
      <c r="C15" s="13">
        <v>5213</v>
      </c>
      <c r="D15" s="13" t="s">
        <v>77</v>
      </c>
      <c r="E15" s="36" t="s">
        <v>835</v>
      </c>
      <c r="F15" s="36" t="s">
        <v>836</v>
      </c>
      <c r="G15" s="36" t="s">
        <v>82</v>
      </c>
      <c r="H15" s="465">
        <v>28000000</v>
      </c>
      <c r="I15" s="466" t="s">
        <v>147</v>
      </c>
      <c r="J15" s="465">
        <f>H15</f>
        <v>28000000</v>
      </c>
      <c r="K15" s="465">
        <f t="shared" si="3"/>
        <v>28000000</v>
      </c>
      <c r="L15" s="11">
        <v>44048</v>
      </c>
      <c r="M15" s="11">
        <f t="shared" si="1"/>
        <v>44083</v>
      </c>
      <c r="N15" s="465">
        <v>28000000</v>
      </c>
      <c r="O15" s="11">
        <f t="shared" si="2"/>
        <v>44258</v>
      </c>
      <c r="P15" s="465"/>
      <c r="Q15" s="465"/>
      <c r="R15" s="11"/>
      <c r="S15" s="437"/>
      <c r="T15" s="170"/>
    </row>
    <row r="16" spans="1:21" s="13" customFormat="1" ht="12.75">
      <c r="A16" s="13" t="s">
        <v>147</v>
      </c>
      <c r="B16" s="13" t="s">
        <v>147</v>
      </c>
      <c r="C16" s="13">
        <v>5214</v>
      </c>
      <c r="D16" s="13" t="s">
        <v>77</v>
      </c>
      <c r="E16" s="36" t="s">
        <v>367</v>
      </c>
      <c r="F16" s="36" t="s">
        <v>355</v>
      </c>
      <c r="G16" s="36" t="s">
        <v>266</v>
      </c>
      <c r="H16" s="465">
        <v>40000000</v>
      </c>
      <c r="I16" s="466" t="s">
        <v>147</v>
      </c>
      <c r="J16" s="465">
        <f>H16</f>
        <v>40000000</v>
      </c>
      <c r="K16" s="465">
        <f t="shared" ref="K16:K33" si="4">J16</f>
        <v>40000000</v>
      </c>
      <c r="L16" s="11">
        <v>44048</v>
      </c>
      <c r="M16" s="11">
        <f t="shared" ref="M16:M34" si="5">L16+35</f>
        <v>44083</v>
      </c>
      <c r="N16" s="465">
        <v>40000000</v>
      </c>
      <c r="O16" s="11">
        <f t="shared" ref="O16:O34" si="6">L16+210</f>
        <v>44258</v>
      </c>
      <c r="P16" s="465"/>
      <c r="Q16" s="465"/>
      <c r="R16" s="11"/>
      <c r="S16" s="437"/>
      <c r="T16" s="170"/>
    </row>
    <row r="17" spans="1:20" s="13" customFormat="1" ht="12.75">
      <c r="A17" s="13" t="s">
        <v>147</v>
      </c>
      <c r="B17" s="13" t="s">
        <v>147</v>
      </c>
      <c r="C17" s="13">
        <v>5215</v>
      </c>
      <c r="D17" s="13" t="s">
        <v>622</v>
      </c>
      <c r="E17" s="36" t="s">
        <v>844</v>
      </c>
      <c r="F17" s="36" t="s">
        <v>355</v>
      </c>
      <c r="G17" s="36" t="s">
        <v>268</v>
      </c>
      <c r="H17" s="465">
        <v>54817320</v>
      </c>
      <c r="I17" s="466" t="s">
        <v>147</v>
      </c>
      <c r="J17" s="465">
        <f>H17</f>
        <v>54817320</v>
      </c>
      <c r="K17" s="465">
        <f t="shared" si="4"/>
        <v>54817320</v>
      </c>
      <c r="L17" s="11">
        <v>44048</v>
      </c>
      <c r="M17" s="11">
        <f t="shared" si="5"/>
        <v>44083</v>
      </c>
      <c r="N17" s="465">
        <v>54817320</v>
      </c>
      <c r="O17" s="11">
        <f t="shared" si="6"/>
        <v>44258</v>
      </c>
      <c r="P17" s="465">
        <v>0</v>
      </c>
      <c r="Q17" s="465">
        <f>N17-P17</f>
        <v>54817320</v>
      </c>
      <c r="R17" s="11">
        <v>44182</v>
      </c>
      <c r="S17" s="437"/>
      <c r="T17" s="170"/>
    </row>
    <row r="18" spans="1:20" s="13" customFormat="1" ht="12.75">
      <c r="A18" s="13" t="s">
        <v>147</v>
      </c>
      <c r="B18" s="13" t="s">
        <v>147</v>
      </c>
      <c r="C18" s="13">
        <v>5216</v>
      </c>
      <c r="D18" s="13" t="s">
        <v>77</v>
      </c>
      <c r="E18" s="36" t="s">
        <v>76</v>
      </c>
      <c r="F18" s="36" t="s">
        <v>645</v>
      </c>
      <c r="G18" s="36" t="s">
        <v>154</v>
      </c>
      <c r="H18" s="465">
        <v>409970085</v>
      </c>
      <c r="I18" s="466" t="s">
        <v>147</v>
      </c>
      <c r="J18" s="465">
        <f>H18</f>
        <v>409970085</v>
      </c>
      <c r="K18" s="465">
        <f t="shared" si="4"/>
        <v>409970085</v>
      </c>
      <c r="L18" s="11">
        <v>44048</v>
      </c>
      <c r="M18" s="11">
        <f t="shared" si="5"/>
        <v>44083</v>
      </c>
      <c r="N18" s="465">
        <v>409970085</v>
      </c>
      <c r="O18" s="11">
        <f t="shared" si="6"/>
        <v>44258</v>
      </c>
      <c r="P18" s="465"/>
      <c r="Q18" s="465"/>
      <c r="R18" s="11"/>
      <c r="S18" s="437"/>
      <c r="T18" s="170"/>
    </row>
    <row r="19" spans="1:20" s="13" customFormat="1" ht="12.75">
      <c r="A19" s="13" t="s">
        <v>147</v>
      </c>
      <c r="B19" s="13" t="s">
        <v>147</v>
      </c>
      <c r="C19" s="13">
        <v>5217</v>
      </c>
      <c r="D19" s="13" t="s">
        <v>77</v>
      </c>
      <c r="E19" s="36" t="s">
        <v>152</v>
      </c>
      <c r="F19" s="36" t="s">
        <v>842</v>
      </c>
      <c r="G19" s="36" t="s">
        <v>154</v>
      </c>
      <c r="H19" s="465">
        <v>122966432</v>
      </c>
      <c r="I19" s="466" t="s">
        <v>147</v>
      </c>
      <c r="J19" s="465">
        <v>122966432</v>
      </c>
      <c r="K19" s="465">
        <f t="shared" si="4"/>
        <v>122966432</v>
      </c>
      <c r="L19" s="11">
        <v>44048</v>
      </c>
      <c r="M19" s="11">
        <f t="shared" si="5"/>
        <v>44083</v>
      </c>
      <c r="N19" s="465">
        <v>122966432</v>
      </c>
      <c r="O19" s="11">
        <f t="shared" si="6"/>
        <v>44258</v>
      </c>
      <c r="P19" s="465"/>
      <c r="Q19" s="465"/>
      <c r="R19" s="11"/>
      <c r="S19" s="437"/>
      <c r="T19" s="170"/>
    </row>
    <row r="20" spans="1:20" s="13" customFormat="1" ht="12.75">
      <c r="A20" s="13" t="s">
        <v>147</v>
      </c>
      <c r="B20" s="13" t="s">
        <v>147</v>
      </c>
      <c r="C20" s="13">
        <v>5218</v>
      </c>
      <c r="D20" s="13" t="s">
        <v>77</v>
      </c>
      <c r="E20" s="36" t="s">
        <v>366</v>
      </c>
      <c r="F20" s="36" t="s">
        <v>843</v>
      </c>
      <c r="G20" s="36" t="s">
        <v>261</v>
      </c>
      <c r="H20" s="465">
        <v>64819515</v>
      </c>
      <c r="I20" s="466" t="s">
        <v>147</v>
      </c>
      <c r="J20" s="465">
        <f t="shared" ref="J20:J33" si="7">H20</f>
        <v>64819515</v>
      </c>
      <c r="K20" s="465">
        <f t="shared" si="4"/>
        <v>64819515</v>
      </c>
      <c r="L20" s="11">
        <v>44048</v>
      </c>
      <c r="M20" s="11">
        <f t="shared" si="5"/>
        <v>44083</v>
      </c>
      <c r="N20" s="465">
        <v>64819515</v>
      </c>
      <c r="O20" s="11">
        <f t="shared" si="6"/>
        <v>44258</v>
      </c>
      <c r="P20" s="465"/>
      <c r="Q20" s="465"/>
      <c r="R20" s="11"/>
      <c r="S20" s="437"/>
      <c r="T20" s="170"/>
    </row>
    <row r="21" spans="1:20" s="13" customFormat="1" ht="12.75">
      <c r="A21" s="13" t="s">
        <v>147</v>
      </c>
      <c r="B21" s="13" t="s">
        <v>147</v>
      </c>
      <c r="C21" s="13">
        <v>5219</v>
      </c>
      <c r="D21" s="13" t="s">
        <v>77</v>
      </c>
      <c r="E21" s="36" t="s">
        <v>371</v>
      </c>
      <c r="F21" s="36" t="s">
        <v>843</v>
      </c>
      <c r="G21" s="36" t="s">
        <v>359</v>
      </c>
      <c r="H21" s="465">
        <v>10000000</v>
      </c>
      <c r="I21" s="466" t="s">
        <v>147</v>
      </c>
      <c r="J21" s="465">
        <f t="shared" si="7"/>
        <v>10000000</v>
      </c>
      <c r="K21" s="465">
        <f t="shared" si="4"/>
        <v>10000000</v>
      </c>
      <c r="L21" s="11">
        <v>44048</v>
      </c>
      <c r="M21" s="11">
        <f t="shared" si="5"/>
        <v>44083</v>
      </c>
      <c r="N21" s="465">
        <v>10000000</v>
      </c>
      <c r="O21" s="11">
        <f t="shared" si="6"/>
        <v>44258</v>
      </c>
      <c r="P21" s="465"/>
      <c r="Q21" s="465"/>
      <c r="R21" s="11"/>
      <c r="S21" s="437"/>
      <c r="T21" s="170"/>
    </row>
    <row r="22" spans="1:20" s="13" customFormat="1" ht="12.75">
      <c r="A22" s="13" t="s">
        <v>147</v>
      </c>
      <c r="B22" s="13" t="s">
        <v>147</v>
      </c>
      <c r="C22" s="13">
        <v>5220</v>
      </c>
      <c r="D22" s="13" t="s">
        <v>77</v>
      </c>
      <c r="E22" s="36" t="s">
        <v>363</v>
      </c>
      <c r="F22" s="36" t="s">
        <v>843</v>
      </c>
      <c r="G22" s="36" t="s">
        <v>361</v>
      </c>
      <c r="H22" s="465">
        <v>20000000</v>
      </c>
      <c r="I22" s="466" t="s">
        <v>147</v>
      </c>
      <c r="J22" s="465">
        <f t="shared" si="7"/>
        <v>20000000</v>
      </c>
      <c r="K22" s="465">
        <f t="shared" si="4"/>
        <v>20000000</v>
      </c>
      <c r="L22" s="11">
        <v>44048</v>
      </c>
      <c r="M22" s="11">
        <f t="shared" si="5"/>
        <v>44083</v>
      </c>
      <c r="N22" s="465">
        <v>20000000</v>
      </c>
      <c r="O22" s="11">
        <f t="shared" si="6"/>
        <v>44258</v>
      </c>
      <c r="P22" s="465"/>
      <c r="Q22" s="465"/>
      <c r="R22" s="11"/>
      <c r="S22" s="437"/>
      <c r="T22" s="170"/>
    </row>
    <row r="23" spans="1:20" s="13" customFormat="1" ht="12.75">
      <c r="A23" s="13" t="s">
        <v>147</v>
      </c>
      <c r="B23" s="13" t="s">
        <v>147</v>
      </c>
      <c r="C23" s="13">
        <v>5221</v>
      </c>
      <c r="D23" s="13" t="s">
        <v>77</v>
      </c>
      <c r="E23" s="36" t="s">
        <v>365</v>
      </c>
      <c r="F23" s="36" t="s">
        <v>843</v>
      </c>
      <c r="G23" s="36" t="s">
        <v>176</v>
      </c>
      <c r="H23" s="465">
        <v>6000000</v>
      </c>
      <c r="I23" s="466" t="s">
        <v>147</v>
      </c>
      <c r="J23" s="465">
        <f t="shared" si="7"/>
        <v>6000000</v>
      </c>
      <c r="K23" s="465">
        <f t="shared" si="4"/>
        <v>6000000</v>
      </c>
      <c r="L23" s="11">
        <v>44048</v>
      </c>
      <c r="M23" s="11">
        <f t="shared" si="5"/>
        <v>44083</v>
      </c>
      <c r="N23" s="465">
        <v>6000000</v>
      </c>
      <c r="O23" s="11">
        <f t="shared" si="6"/>
        <v>44258</v>
      </c>
      <c r="P23" s="465"/>
      <c r="Q23" s="465"/>
      <c r="R23" s="11"/>
      <c r="S23" s="437"/>
      <c r="T23" s="170"/>
    </row>
    <row r="24" spans="1:20" s="13" customFormat="1" ht="12.75">
      <c r="A24" s="13" t="s">
        <v>147</v>
      </c>
      <c r="B24" s="13" t="s">
        <v>147</v>
      </c>
      <c r="C24" s="13">
        <v>5222</v>
      </c>
      <c r="D24" s="13" t="s">
        <v>77</v>
      </c>
      <c r="E24" s="36" t="s">
        <v>364</v>
      </c>
      <c r="F24" s="36" t="s">
        <v>843</v>
      </c>
      <c r="G24" s="36" t="s">
        <v>354</v>
      </c>
      <c r="H24" s="465">
        <v>30000000</v>
      </c>
      <c r="I24" s="466" t="s">
        <v>147</v>
      </c>
      <c r="J24" s="465">
        <f t="shared" si="7"/>
        <v>30000000</v>
      </c>
      <c r="K24" s="465">
        <f t="shared" si="4"/>
        <v>30000000</v>
      </c>
      <c r="L24" s="11">
        <v>44048</v>
      </c>
      <c r="M24" s="11">
        <f t="shared" si="5"/>
        <v>44083</v>
      </c>
      <c r="N24" s="465">
        <v>30000000</v>
      </c>
      <c r="O24" s="11">
        <f t="shared" si="6"/>
        <v>44258</v>
      </c>
      <c r="P24" s="465"/>
      <c r="Q24" s="465"/>
      <c r="R24" s="11"/>
      <c r="S24" s="437"/>
      <c r="T24" s="170"/>
    </row>
    <row r="25" spans="1:20" s="13" customFormat="1" ht="12.75">
      <c r="A25" s="13" t="s">
        <v>147</v>
      </c>
      <c r="B25" s="13" t="s">
        <v>147</v>
      </c>
      <c r="C25" s="13">
        <v>5223</v>
      </c>
      <c r="D25" s="13" t="s">
        <v>77</v>
      </c>
      <c r="E25" s="36" t="s">
        <v>368</v>
      </c>
      <c r="F25" s="36" t="s">
        <v>843</v>
      </c>
      <c r="G25" s="36" t="s">
        <v>845</v>
      </c>
      <c r="H25" s="465">
        <v>35000000</v>
      </c>
      <c r="I25" s="466" t="s">
        <v>147</v>
      </c>
      <c r="J25" s="465">
        <f t="shared" si="7"/>
        <v>35000000</v>
      </c>
      <c r="K25" s="465">
        <f t="shared" si="4"/>
        <v>35000000</v>
      </c>
      <c r="L25" s="11">
        <v>44048</v>
      </c>
      <c r="M25" s="11">
        <f t="shared" si="5"/>
        <v>44083</v>
      </c>
      <c r="N25" s="465">
        <v>35000000</v>
      </c>
      <c r="O25" s="11">
        <f t="shared" si="6"/>
        <v>44258</v>
      </c>
      <c r="P25" s="465"/>
      <c r="Q25" s="465"/>
      <c r="R25" s="11"/>
      <c r="S25" s="437"/>
      <c r="T25" s="170"/>
    </row>
    <row r="26" spans="1:20" s="13" customFormat="1" ht="12.75">
      <c r="A26" s="13" t="s">
        <v>147</v>
      </c>
      <c r="B26" s="13" t="s">
        <v>147</v>
      </c>
      <c r="C26" s="13">
        <v>5224</v>
      </c>
      <c r="D26" s="13" t="s">
        <v>77</v>
      </c>
      <c r="E26" s="36" t="s">
        <v>384</v>
      </c>
      <c r="F26" s="36" t="s">
        <v>843</v>
      </c>
      <c r="G26" s="36" t="s">
        <v>78</v>
      </c>
      <c r="H26" s="465">
        <v>64819515</v>
      </c>
      <c r="I26" s="466" t="s">
        <v>147</v>
      </c>
      <c r="J26" s="465">
        <f t="shared" si="7"/>
        <v>64819515</v>
      </c>
      <c r="K26" s="465">
        <f t="shared" si="4"/>
        <v>64819515</v>
      </c>
      <c r="L26" s="11">
        <v>44048</v>
      </c>
      <c r="M26" s="11">
        <f t="shared" si="5"/>
        <v>44083</v>
      </c>
      <c r="N26" s="465">
        <f>K26</f>
        <v>64819515</v>
      </c>
      <c r="O26" s="11">
        <f t="shared" si="6"/>
        <v>44258</v>
      </c>
      <c r="P26" s="465"/>
      <c r="Q26" s="465"/>
      <c r="R26" s="11"/>
      <c r="S26" s="437"/>
      <c r="T26" s="170"/>
    </row>
    <row r="27" spans="1:20" s="13" customFormat="1" ht="12.75">
      <c r="A27" s="13" t="s">
        <v>147</v>
      </c>
      <c r="B27" s="13" t="s">
        <v>147</v>
      </c>
      <c r="C27" s="13">
        <v>5225</v>
      </c>
      <c r="D27" s="13" t="s">
        <v>77</v>
      </c>
      <c r="E27" s="36" t="s">
        <v>295</v>
      </c>
      <c r="F27" s="36" t="s">
        <v>846</v>
      </c>
      <c r="G27" s="36" t="s">
        <v>600</v>
      </c>
      <c r="H27" s="465">
        <v>30000000</v>
      </c>
      <c r="I27" s="466" t="s">
        <v>147</v>
      </c>
      <c r="J27" s="465">
        <f t="shared" si="7"/>
        <v>30000000</v>
      </c>
      <c r="K27" s="465">
        <f t="shared" si="4"/>
        <v>30000000</v>
      </c>
      <c r="L27" s="11">
        <v>44048</v>
      </c>
      <c r="M27" s="11">
        <f t="shared" si="5"/>
        <v>44083</v>
      </c>
      <c r="N27" s="465">
        <v>30000000</v>
      </c>
      <c r="O27" s="11">
        <f t="shared" si="6"/>
        <v>44258</v>
      </c>
      <c r="P27" s="465"/>
      <c r="Q27" s="465"/>
      <c r="R27" s="11"/>
      <c r="S27" s="437"/>
      <c r="T27" s="170"/>
    </row>
    <row r="28" spans="1:20" s="13" customFormat="1" ht="12.75">
      <c r="A28" s="13" t="s">
        <v>147</v>
      </c>
      <c r="B28" s="13" t="s">
        <v>147</v>
      </c>
      <c r="C28" s="13">
        <v>5226</v>
      </c>
      <c r="D28" s="13" t="s">
        <v>77</v>
      </c>
      <c r="E28" s="36" t="s">
        <v>141</v>
      </c>
      <c r="F28" s="36" t="s">
        <v>846</v>
      </c>
      <c r="G28" s="36" t="s">
        <v>847</v>
      </c>
      <c r="H28" s="465">
        <v>27500000</v>
      </c>
      <c r="I28" s="466" t="s">
        <v>147</v>
      </c>
      <c r="J28" s="465">
        <f t="shared" si="7"/>
        <v>27500000</v>
      </c>
      <c r="K28" s="465">
        <f t="shared" si="4"/>
        <v>27500000</v>
      </c>
      <c r="L28" s="11">
        <v>44048</v>
      </c>
      <c r="M28" s="11">
        <f t="shared" si="5"/>
        <v>44083</v>
      </c>
      <c r="N28" s="465">
        <v>27500000</v>
      </c>
      <c r="O28" s="11">
        <f t="shared" si="6"/>
        <v>44258</v>
      </c>
      <c r="P28" s="465"/>
      <c r="Q28" s="465"/>
      <c r="R28" s="11"/>
      <c r="S28" s="437"/>
      <c r="T28" s="170"/>
    </row>
    <row r="29" spans="1:20" s="13" customFormat="1" ht="12.75">
      <c r="A29" s="13" t="s">
        <v>147</v>
      </c>
      <c r="B29" s="13" t="s">
        <v>147</v>
      </c>
      <c r="C29" s="13">
        <v>5227</v>
      </c>
      <c r="D29" s="13" t="s">
        <v>77</v>
      </c>
      <c r="E29" s="36" t="s">
        <v>380</v>
      </c>
      <c r="F29" s="36" t="s">
        <v>848</v>
      </c>
      <c r="G29" s="36" t="s">
        <v>847</v>
      </c>
      <c r="H29" s="465">
        <v>37319515</v>
      </c>
      <c r="I29" s="466" t="s">
        <v>147</v>
      </c>
      <c r="J29" s="465">
        <f t="shared" si="7"/>
        <v>37319515</v>
      </c>
      <c r="K29" s="465">
        <f t="shared" si="4"/>
        <v>37319515</v>
      </c>
      <c r="L29" s="11">
        <v>44048</v>
      </c>
      <c r="M29" s="11">
        <f t="shared" si="5"/>
        <v>44083</v>
      </c>
      <c r="N29" s="465">
        <v>37319515</v>
      </c>
      <c r="O29" s="11">
        <f t="shared" si="6"/>
        <v>44258</v>
      </c>
      <c r="P29" s="465"/>
      <c r="Q29" s="465"/>
      <c r="R29" s="11"/>
      <c r="S29" s="437"/>
      <c r="T29" s="170"/>
    </row>
    <row r="30" spans="1:20" s="13" customFormat="1" ht="12.75">
      <c r="A30" s="13" t="s">
        <v>147</v>
      </c>
      <c r="B30" s="13" t="s">
        <v>147</v>
      </c>
      <c r="C30" s="13">
        <v>5228</v>
      </c>
      <c r="D30" s="13" t="s">
        <v>77</v>
      </c>
      <c r="E30" s="36" t="s">
        <v>906</v>
      </c>
      <c r="F30" s="36" t="s">
        <v>848</v>
      </c>
      <c r="G30" s="36" t="s">
        <v>173</v>
      </c>
      <c r="H30" s="465">
        <v>4000000</v>
      </c>
      <c r="I30" s="466" t="s">
        <v>147</v>
      </c>
      <c r="J30" s="465">
        <f t="shared" si="7"/>
        <v>4000000</v>
      </c>
      <c r="K30" s="465">
        <f t="shared" si="4"/>
        <v>4000000</v>
      </c>
      <c r="L30" s="11">
        <v>44048</v>
      </c>
      <c r="M30" s="11">
        <f t="shared" si="5"/>
        <v>44083</v>
      </c>
      <c r="N30" s="465">
        <v>4000000</v>
      </c>
      <c r="O30" s="11">
        <f t="shared" si="6"/>
        <v>44258</v>
      </c>
      <c r="P30" s="465"/>
      <c r="Q30" s="465"/>
      <c r="R30" s="11"/>
      <c r="S30" s="437"/>
      <c r="T30" s="170"/>
    </row>
    <row r="31" spans="1:20" s="13" customFormat="1" ht="12.75">
      <c r="A31" s="13" t="s">
        <v>147</v>
      </c>
      <c r="B31" s="13" t="s">
        <v>147</v>
      </c>
      <c r="C31" s="13">
        <v>5229</v>
      </c>
      <c r="D31" s="13" t="s">
        <v>77</v>
      </c>
      <c r="E31" s="36" t="s">
        <v>362</v>
      </c>
      <c r="F31" s="36" t="s">
        <v>849</v>
      </c>
      <c r="G31" s="36" t="s">
        <v>168</v>
      </c>
      <c r="H31" s="465">
        <v>15000000</v>
      </c>
      <c r="I31" s="466" t="s">
        <v>147</v>
      </c>
      <c r="J31" s="465">
        <f t="shared" si="7"/>
        <v>15000000</v>
      </c>
      <c r="K31" s="465">
        <f t="shared" si="4"/>
        <v>15000000</v>
      </c>
      <c r="L31" s="11">
        <v>44048</v>
      </c>
      <c r="M31" s="11">
        <f t="shared" si="5"/>
        <v>44083</v>
      </c>
      <c r="N31" s="465">
        <v>15000000</v>
      </c>
      <c r="O31" s="11">
        <f t="shared" si="6"/>
        <v>44258</v>
      </c>
      <c r="P31" s="465"/>
      <c r="Q31" s="465"/>
      <c r="R31" s="11"/>
      <c r="S31" s="437"/>
      <c r="T31" s="170"/>
    </row>
    <row r="32" spans="1:20" s="13" customFormat="1" ht="12.75">
      <c r="A32" s="13" t="s">
        <v>147</v>
      </c>
      <c r="B32" s="13" t="s">
        <v>147</v>
      </c>
      <c r="C32" s="13">
        <v>5230</v>
      </c>
      <c r="D32" s="13" t="s">
        <v>622</v>
      </c>
      <c r="E32" s="36" t="s">
        <v>850</v>
      </c>
      <c r="F32" s="36" t="s">
        <v>843</v>
      </c>
      <c r="G32" s="36" t="s">
        <v>851</v>
      </c>
      <c r="H32" s="465">
        <v>40000000</v>
      </c>
      <c r="I32" s="466" t="s">
        <v>147</v>
      </c>
      <c r="J32" s="465">
        <f t="shared" si="7"/>
        <v>40000000</v>
      </c>
      <c r="K32" s="465">
        <f t="shared" si="4"/>
        <v>40000000</v>
      </c>
      <c r="L32" s="11">
        <v>44048</v>
      </c>
      <c r="M32" s="11">
        <f t="shared" si="5"/>
        <v>44083</v>
      </c>
      <c r="N32" s="465">
        <v>40000000</v>
      </c>
      <c r="O32" s="11">
        <f t="shared" si="6"/>
        <v>44258</v>
      </c>
      <c r="P32" s="465">
        <v>0</v>
      </c>
      <c r="Q32" s="465">
        <f>N32-P32</f>
        <v>40000000</v>
      </c>
      <c r="R32" s="11">
        <v>44175</v>
      </c>
      <c r="S32" s="437"/>
      <c r="T32" s="170"/>
    </row>
    <row r="33" spans="1:21" s="13" customFormat="1" ht="12.75">
      <c r="A33" s="13" t="s">
        <v>147</v>
      </c>
      <c r="B33" s="13" t="s">
        <v>147</v>
      </c>
      <c r="C33" s="13">
        <v>5231</v>
      </c>
      <c r="D33" s="13" t="s">
        <v>622</v>
      </c>
      <c r="E33" s="36" t="s">
        <v>853</v>
      </c>
      <c r="F33" s="36" t="s">
        <v>843</v>
      </c>
      <c r="G33" s="36" t="s">
        <v>852</v>
      </c>
      <c r="H33" s="465">
        <v>12500000</v>
      </c>
      <c r="I33" s="466" t="s">
        <v>147</v>
      </c>
      <c r="J33" s="465">
        <f t="shared" si="7"/>
        <v>12500000</v>
      </c>
      <c r="K33" s="465">
        <f t="shared" si="4"/>
        <v>12500000</v>
      </c>
      <c r="L33" s="11">
        <v>44048</v>
      </c>
      <c r="M33" s="11">
        <f t="shared" si="5"/>
        <v>44083</v>
      </c>
      <c r="N33" s="465">
        <v>12500000</v>
      </c>
      <c r="O33" s="11">
        <f t="shared" si="6"/>
        <v>44258</v>
      </c>
      <c r="P33" s="465">
        <v>0</v>
      </c>
      <c r="Q33" s="465">
        <f>N33-P33</f>
        <v>12500000</v>
      </c>
      <c r="R33" s="11">
        <v>44175</v>
      </c>
      <c r="S33" s="437"/>
      <c r="T33" s="170"/>
    </row>
    <row r="34" spans="1:21" s="481" customFormat="1" ht="12.75">
      <c r="A34" s="481" t="s">
        <v>147</v>
      </c>
      <c r="B34" s="481" t="s">
        <v>147</v>
      </c>
      <c r="C34" s="481">
        <v>5232</v>
      </c>
      <c r="D34" s="481" t="s">
        <v>77</v>
      </c>
      <c r="E34" s="482" t="s">
        <v>152</v>
      </c>
      <c r="F34" s="482" t="s">
        <v>842</v>
      </c>
      <c r="G34" s="482" t="s">
        <v>154</v>
      </c>
      <c r="H34" s="566">
        <v>118111220</v>
      </c>
      <c r="I34" s="567" t="s">
        <v>147</v>
      </c>
      <c r="J34" s="566">
        <f>H34</f>
        <v>118111220</v>
      </c>
      <c r="K34" s="566">
        <f>J34</f>
        <v>118111220</v>
      </c>
      <c r="L34" s="485">
        <v>44050</v>
      </c>
      <c r="M34" s="485">
        <f t="shared" si="5"/>
        <v>44085</v>
      </c>
      <c r="N34" s="566">
        <v>118111220</v>
      </c>
      <c r="O34" s="485">
        <f t="shared" si="6"/>
        <v>44260</v>
      </c>
      <c r="P34" s="566"/>
      <c r="Q34" s="566"/>
      <c r="R34" s="485"/>
      <c r="S34" s="508"/>
      <c r="T34" s="568"/>
    </row>
    <row r="35" spans="1:21" s="475" customFormat="1" ht="12.75">
      <c r="A35" s="475" t="s">
        <v>147</v>
      </c>
      <c r="B35" s="475" t="s">
        <v>147</v>
      </c>
      <c r="C35" s="475" t="s">
        <v>882</v>
      </c>
      <c r="D35" s="475" t="s">
        <v>43</v>
      </c>
      <c r="E35" s="476" t="s">
        <v>76</v>
      </c>
      <c r="F35" s="476" t="s">
        <v>269</v>
      </c>
      <c r="G35" s="476" t="s">
        <v>154</v>
      </c>
      <c r="H35" s="522">
        <v>0</v>
      </c>
      <c r="I35" s="523" t="s">
        <v>147</v>
      </c>
      <c r="J35" s="522">
        <f>H35</f>
        <v>0</v>
      </c>
      <c r="K35" s="522"/>
      <c r="L35" s="478"/>
      <c r="M35" s="478"/>
      <c r="N35" s="543"/>
      <c r="O35" s="478"/>
      <c r="P35" s="522"/>
      <c r="Q35" s="522"/>
      <c r="R35" s="478"/>
      <c r="S35" s="521"/>
      <c r="T35" s="524"/>
    </row>
    <row r="36" spans="1:21" s="5" customFormat="1" ht="12.75">
      <c r="D36" s="13"/>
      <c r="E36" s="26"/>
      <c r="F36" s="26"/>
      <c r="G36" s="26"/>
      <c r="H36" s="73"/>
      <c r="I36" s="115"/>
      <c r="J36" s="73"/>
      <c r="K36" s="73"/>
      <c r="L36" s="6"/>
      <c r="M36" s="6"/>
      <c r="N36" s="46"/>
      <c r="O36" s="6"/>
      <c r="P36" s="73"/>
      <c r="Q36" s="73"/>
      <c r="R36" s="52"/>
      <c r="S36" s="13"/>
      <c r="T36" s="170"/>
      <c r="U36" s="13"/>
    </row>
    <row r="37" spans="1:21" s="13" customFormat="1">
      <c r="A37" s="43"/>
      <c r="B37" s="43"/>
      <c r="C37" s="43"/>
      <c r="D37" s="43"/>
      <c r="E37" s="1"/>
      <c r="F37" s="13" t="s">
        <v>19</v>
      </c>
      <c r="H37" s="263">
        <f>SUM(H9:H36)</f>
        <v>1669878766</v>
      </c>
      <c r="I37" s="66"/>
      <c r="J37" s="263">
        <f>SUM(J9:J36)</f>
        <v>1669878766</v>
      </c>
      <c r="K37" s="263">
        <f>SUM(K9:K36)</f>
        <v>1669878766</v>
      </c>
      <c r="L37" s="11"/>
      <c r="M37" s="10"/>
      <c r="N37" s="263">
        <f>SUM(N9:N36)</f>
        <v>1667382660.95</v>
      </c>
      <c r="O37" s="11"/>
      <c r="P37" s="263">
        <f>SUM(P9:P36)</f>
        <v>58840720</v>
      </c>
      <c r="Q37" s="263">
        <f>SUM(Q9:Q36)</f>
        <v>547531764</v>
      </c>
    </row>
    <row r="38" spans="1:21">
      <c r="A38" s="5"/>
      <c r="B38" s="5"/>
      <c r="C38" s="5"/>
      <c r="D38" s="88"/>
      <c r="F38" s="13"/>
      <c r="H38" s="76"/>
      <c r="I38" s="1"/>
      <c r="J38" s="11"/>
      <c r="K38" s="11"/>
      <c r="L38" s="11"/>
      <c r="M38" s="6"/>
      <c r="N38" s="1"/>
      <c r="O38" s="11"/>
      <c r="P38" s="1"/>
      <c r="Q38" s="13"/>
    </row>
    <row r="39" spans="1:21">
      <c r="A39" s="5"/>
      <c r="B39" s="5"/>
      <c r="C39" s="5"/>
      <c r="E39" s="5"/>
      <c r="F39" s="13" t="s">
        <v>43</v>
      </c>
      <c r="G39" s="5"/>
      <c r="H39" s="34">
        <f>J37-K37</f>
        <v>0</v>
      </c>
      <c r="I39" s="9"/>
      <c r="J39" s="1"/>
      <c r="K39" s="1"/>
      <c r="L39" s="9"/>
      <c r="N39" s="1"/>
      <c r="O39" s="3"/>
      <c r="P39" s="1"/>
      <c r="Q39" s="13"/>
    </row>
    <row r="40" spans="1:21">
      <c r="A40" s="5"/>
      <c r="B40" s="5"/>
      <c r="C40" s="5"/>
      <c r="E40" s="5"/>
      <c r="G40" s="5"/>
      <c r="H40" s="67"/>
      <c r="I40" s="9"/>
      <c r="J40" s="1"/>
      <c r="K40" s="167"/>
      <c r="L40" s="9"/>
      <c r="N40" s="1"/>
      <c r="O40" s="3"/>
      <c r="P40" s="1"/>
      <c r="Q40" s="13"/>
    </row>
    <row r="41" spans="1:21">
      <c r="A41" s="5"/>
      <c r="B41" s="5"/>
      <c r="C41" s="5"/>
      <c r="E41" s="133"/>
      <c r="F41" s="58" t="s">
        <v>10</v>
      </c>
      <c r="G41" s="5"/>
      <c r="H41" s="349">
        <f>E1-K37+Q37+G50</f>
        <v>107317320</v>
      </c>
      <c r="I41" s="195"/>
      <c r="J41" s="171"/>
      <c r="K41" s="167"/>
      <c r="L41" s="9"/>
      <c r="M41" s="167"/>
      <c r="N41" s="83"/>
      <c r="P41" s="1"/>
      <c r="Q41" s="13"/>
    </row>
    <row r="42" spans="1:21">
      <c r="E42" s="58"/>
      <c r="F42" s="5"/>
      <c r="G42" s="5"/>
      <c r="H42" s="490"/>
      <c r="I42" s="195"/>
      <c r="J42" s="426"/>
      <c r="K42" s="418"/>
      <c r="L42" s="9"/>
      <c r="M42" s="168"/>
      <c r="N42" s="83"/>
    </row>
    <row r="43" spans="1:21">
      <c r="E43" s="58"/>
      <c r="F43" s="4"/>
      <c r="G43" s="124"/>
      <c r="H43" s="124"/>
      <c r="I43" s="187"/>
      <c r="J43" s="187"/>
      <c r="K43" s="416"/>
      <c r="L43" s="83"/>
      <c r="M43" s="167"/>
      <c r="N43" s="1"/>
      <c r="O43" s="171"/>
      <c r="P43" s="9"/>
    </row>
    <row r="44" spans="1:21">
      <c r="A44" s="13"/>
      <c r="B44" s="13"/>
      <c r="C44" s="13"/>
      <c r="D44" s="202"/>
      <c r="E44" s="148"/>
      <c r="F44" s="148"/>
      <c r="G44" s="241"/>
      <c r="H44" s="430"/>
      <c r="I44" s="430"/>
      <c r="J44" s="171"/>
      <c r="K44" s="171"/>
      <c r="L44" s="83"/>
      <c r="M44" s="171"/>
      <c r="N44" s="1"/>
      <c r="O44" s="167"/>
    </row>
    <row r="45" spans="1:21">
      <c r="A45" s="13"/>
      <c r="B45" s="13"/>
      <c r="C45" s="13"/>
      <c r="D45" s="202"/>
      <c r="E45" s="148"/>
      <c r="F45" s="148"/>
      <c r="G45" s="241"/>
      <c r="H45" s="430"/>
      <c r="I45" s="430"/>
      <c r="J45" s="187"/>
      <c r="K45" s="171"/>
      <c r="L45" s="83"/>
      <c r="M45" s="171"/>
      <c r="N45" s="1"/>
      <c r="O45" s="167"/>
    </row>
    <row r="46" spans="1:21">
      <c r="A46" s="13"/>
      <c r="B46" s="13"/>
      <c r="C46" s="13"/>
      <c r="D46" s="202"/>
      <c r="E46" s="148"/>
      <c r="F46" s="148"/>
      <c r="G46" s="59"/>
      <c r="H46" s="430"/>
      <c r="I46" s="514"/>
      <c r="J46" s="187"/>
      <c r="K46" s="171"/>
      <c r="L46" s="83"/>
      <c r="M46" s="171"/>
      <c r="N46" s="1"/>
      <c r="O46" s="167"/>
    </row>
    <row r="47" spans="1:21">
      <c r="A47" s="13"/>
      <c r="B47" s="13"/>
      <c r="C47" s="13"/>
      <c r="D47" s="202"/>
      <c r="E47" s="148"/>
      <c r="F47" s="148"/>
      <c r="G47" s="241"/>
      <c r="H47" s="430"/>
      <c r="I47" s="430"/>
      <c r="J47" s="171"/>
      <c r="K47" s="171"/>
      <c r="L47" s="83"/>
      <c r="M47" s="171"/>
      <c r="N47" s="1"/>
      <c r="O47" s="167"/>
    </row>
    <row r="48" spans="1:21">
      <c r="A48" s="13"/>
      <c r="B48" s="13"/>
      <c r="C48" s="13"/>
      <c r="D48" s="202"/>
      <c r="E48" s="148"/>
      <c r="F48" s="148"/>
      <c r="G48" s="59"/>
      <c r="H48" s="430"/>
      <c r="I48" s="430"/>
      <c r="J48" s="171"/>
      <c r="K48" s="171"/>
      <c r="L48" s="83"/>
      <c r="M48" s="171"/>
      <c r="N48" s="1"/>
      <c r="O48" s="167"/>
    </row>
    <row r="49" spans="1:17">
      <c r="A49" s="13"/>
      <c r="B49" s="13"/>
      <c r="C49" s="13"/>
      <c r="D49" s="202"/>
      <c r="E49" s="148"/>
      <c r="F49" s="148"/>
      <c r="G49" s="496"/>
      <c r="H49" s="430"/>
      <c r="I49" s="430"/>
      <c r="J49" s="171"/>
      <c r="K49" s="171"/>
      <c r="L49" s="83"/>
      <c r="M49" s="171"/>
      <c r="N49" s="1"/>
      <c r="O49" s="167"/>
    </row>
    <row r="50" spans="1:17">
      <c r="E50" s="148"/>
      <c r="F50" s="133"/>
      <c r="G50" s="488">
        <f>SUM(G44:G49)</f>
        <v>0</v>
      </c>
      <c r="H50" s="124"/>
      <c r="I50" s="189"/>
      <c r="K50" s="424"/>
      <c r="L50" s="83"/>
      <c r="M50" s="167"/>
      <c r="N50" s="1"/>
    </row>
    <row r="51" spans="1:17">
      <c r="E51" s="58"/>
      <c r="F51" s="133"/>
      <c r="G51" s="191"/>
      <c r="H51" s="124"/>
      <c r="I51" s="192"/>
      <c r="K51" s="425"/>
      <c r="L51" s="9"/>
      <c r="N51" s="1"/>
    </row>
    <row r="52" spans="1:17">
      <c r="G52" s="261"/>
      <c r="I52" s="171"/>
      <c r="K52" s="167"/>
      <c r="L52" s="3"/>
    </row>
    <row r="53" spans="1:17">
      <c r="G53" s="251"/>
      <c r="H53" s="376"/>
      <c r="I53" s="195"/>
      <c r="K53" s="266"/>
    </row>
    <row r="54" spans="1:17">
      <c r="G54" s="251"/>
      <c r="H54" s="1"/>
      <c r="I54" s="195"/>
      <c r="K54" s="266"/>
    </row>
    <row r="55" spans="1:17">
      <c r="H55" s="1"/>
      <c r="I55" s="195"/>
      <c r="K55" s="266"/>
    </row>
    <row r="56" spans="1:17">
      <c r="H56" s="205"/>
      <c r="I56" s="195"/>
    </row>
    <row r="57" spans="1:17">
      <c r="H57" s="73"/>
      <c r="I57" s="195"/>
    </row>
    <row r="58" spans="1:17">
      <c r="H58" s="73"/>
      <c r="I58" s="195"/>
    </row>
    <row r="59" spans="1:17">
      <c r="H59" s="71"/>
    </row>
    <row r="60" spans="1:17">
      <c r="H60" s="73"/>
    </row>
    <row r="61" spans="1:17">
      <c r="H61" s="73"/>
    </row>
    <row r="62" spans="1:17">
      <c r="H62" s="73"/>
    </row>
    <row r="63" spans="1:17">
      <c r="F63" s="1" t="s">
        <v>7</v>
      </c>
      <c r="H63" s="73"/>
      <c r="I63" s="1"/>
      <c r="J63" s="1"/>
      <c r="K63" s="1"/>
      <c r="N63" s="1"/>
      <c r="P63" s="1"/>
      <c r="Q63" s="1"/>
    </row>
    <row r="64" spans="1:17">
      <c r="H64" s="205"/>
    </row>
    <row r="65" spans="8:8">
      <c r="H65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2"/>
  <sheetViews>
    <sheetView workbookViewId="0">
      <selection activeCell="H13" sqref="H13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0.7109375" style="13" customWidth="1"/>
    <col min="6" max="6" width="37.28515625" style="13" bestFit="1" customWidth="1"/>
    <col min="7" max="7" width="11.28515625" style="13" bestFit="1" customWidth="1"/>
    <col min="8" max="8" width="13.85546875" style="34" bestFit="1" customWidth="1"/>
    <col min="9" max="9" width="13.28515625" style="34" bestFit="1" customWidth="1"/>
    <col min="10" max="10" width="15.28515625" style="13" bestFit="1" customWidth="1"/>
    <col min="11" max="11" width="10.85546875" style="13" bestFit="1" customWidth="1"/>
    <col min="12" max="12" width="13.5703125" style="34" customWidth="1"/>
    <col min="13" max="13" width="10.85546875" style="13" bestFit="1" customWidth="1"/>
    <col min="14" max="14" width="15.7109375" style="35" bestFit="1" customWidth="1"/>
    <col min="15" max="15" width="13.7109375" style="34" bestFit="1" customWidth="1"/>
    <col min="16" max="16" width="10.140625" style="13" bestFit="1" customWidth="1"/>
    <col min="17" max="16384" width="10.85546875" style="13"/>
  </cols>
  <sheetData>
    <row r="1" spans="1:22">
      <c r="A1" s="16" t="s">
        <v>47</v>
      </c>
      <c r="B1" s="292"/>
      <c r="C1" s="292"/>
      <c r="D1" s="17"/>
      <c r="E1" s="389">
        <f>Totals!D8</f>
        <v>381291263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158</v>
      </c>
      <c r="N4" s="32" t="s">
        <v>27</v>
      </c>
      <c r="O4" s="32" t="s">
        <v>44</v>
      </c>
      <c r="P4" s="106" t="s">
        <v>28</v>
      </c>
    </row>
    <row r="5" spans="1:22">
      <c r="A5" s="31" t="s">
        <v>217</v>
      </c>
      <c r="B5" s="5" t="s">
        <v>217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81" customFormat="1">
      <c r="A7" s="295" t="s">
        <v>147</v>
      </c>
      <c r="B7" s="295" t="s">
        <v>147</v>
      </c>
      <c r="C7" s="295">
        <v>5104</v>
      </c>
      <c r="D7" s="481" t="s">
        <v>632</v>
      </c>
      <c r="E7" s="481" t="s">
        <v>596</v>
      </c>
      <c r="F7" s="482" t="s">
        <v>597</v>
      </c>
      <c r="G7" s="481" t="s">
        <v>154</v>
      </c>
      <c r="H7" s="405">
        <v>175000000</v>
      </c>
      <c r="I7" s="405">
        <v>175000000</v>
      </c>
      <c r="J7" s="485">
        <v>43832</v>
      </c>
      <c r="K7" s="485">
        <f>J7+35</f>
        <v>43867</v>
      </c>
      <c r="L7" s="509">
        <v>175000000</v>
      </c>
      <c r="M7" s="485">
        <f>J7+210</f>
        <v>44042</v>
      </c>
      <c r="N7" s="510">
        <v>111958628.8</v>
      </c>
      <c r="O7" s="510">
        <f>L7-N7</f>
        <v>63041371.200000003</v>
      </c>
      <c r="P7" s="485">
        <v>44034</v>
      </c>
      <c r="Q7" s="507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20"/>
      <c r="O8" s="419"/>
      <c r="P8" s="11"/>
      <c r="Q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175000000</v>
      </c>
      <c r="I9" s="263">
        <f>SUM(I7:I8)</f>
        <v>175000000</v>
      </c>
      <c r="J9" s="10"/>
      <c r="K9" s="10"/>
      <c r="L9" s="263">
        <f>SUM(L7:L8)</f>
        <v>175000000</v>
      </c>
      <c r="M9" s="10"/>
      <c r="N9" s="263">
        <f t="shared" ref="N9:O9" si="0">SUM(N7:N8)</f>
        <v>111958628.8</v>
      </c>
      <c r="O9" s="263">
        <f t="shared" si="0"/>
        <v>63041371.200000003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269332634.19999999</v>
      </c>
      <c r="I13" s="293"/>
      <c r="J13" s="138"/>
      <c r="L13" s="9"/>
      <c r="M13" s="138"/>
      <c r="Q13" s="13"/>
    </row>
    <row r="14" spans="1:22">
      <c r="O14" s="147"/>
    </row>
    <row r="15" spans="1:22">
      <c r="O15" s="147"/>
    </row>
    <row r="16" spans="1:22">
      <c r="E16" s="5"/>
      <c r="F16" s="5"/>
      <c r="G16" s="90"/>
      <c r="I16" s="385"/>
      <c r="J16" s="385"/>
      <c r="L16" s="35"/>
    </row>
    <row r="17" spans="5:12">
      <c r="G17" s="317">
        <f>SUM(G15:G16)</f>
        <v>0</v>
      </c>
      <c r="H17" s="145"/>
      <c r="L17" s="35"/>
    </row>
    <row r="18" spans="5:12">
      <c r="E18" s="5"/>
      <c r="F18" s="5"/>
      <c r="G18" s="5"/>
      <c r="H18" s="35"/>
    </row>
    <row r="19" spans="5:12">
      <c r="G19" s="98"/>
      <c r="L19" s="35"/>
    </row>
    <row r="20" spans="5:12">
      <c r="G20" s="98"/>
      <c r="H20" s="135"/>
    </row>
    <row r="21" spans="5:12">
      <c r="G21" s="117"/>
      <c r="H21" s="134"/>
    </row>
    <row r="22" spans="5:12">
      <c r="G22" s="117"/>
      <c r="H22" s="1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8"/>
  <sheetViews>
    <sheetView zoomScaleNormal="100" workbookViewId="0">
      <selection activeCell="H13" sqref="H13"/>
    </sheetView>
  </sheetViews>
  <sheetFormatPr defaultColWidth="10.85546875" defaultRowHeight="12"/>
  <cols>
    <col min="1" max="1" width="9.5703125" style="105" customWidth="1"/>
    <col min="2" max="2" width="7.140625" style="105" bestFit="1" customWidth="1"/>
    <col min="3" max="3" width="10.140625" style="105" bestFit="1" customWidth="1"/>
    <col min="4" max="4" width="12.140625" style="105" bestFit="1" customWidth="1"/>
    <col min="5" max="5" width="17.85546875" style="105" bestFit="1" customWidth="1"/>
    <col min="6" max="6" width="25.28515625" style="105" customWidth="1"/>
    <col min="7" max="7" width="11.28515625" style="105" bestFit="1" customWidth="1"/>
    <col min="8" max="8" width="13.85546875" style="110" bestFit="1" customWidth="1"/>
    <col min="9" max="9" width="12.7109375" style="110" bestFit="1" customWidth="1"/>
    <col min="10" max="10" width="15.28515625" style="105" bestFit="1" customWidth="1"/>
    <col min="11" max="11" width="10.85546875" style="105" bestFit="1" customWidth="1"/>
    <col min="12" max="12" width="12.5703125" style="110" bestFit="1" customWidth="1"/>
    <col min="13" max="13" width="10.85546875" style="105" customWidth="1"/>
    <col min="14" max="14" width="15.28515625" style="110" bestFit="1" customWidth="1"/>
    <col min="15" max="15" width="12.28515625" style="110" bestFit="1" customWidth="1"/>
    <col min="16" max="16" width="10.5703125" style="105" bestFit="1" customWidth="1"/>
    <col min="17" max="16384" width="10.85546875" style="105"/>
  </cols>
  <sheetData>
    <row r="1" spans="1:22" s="102" customFormat="1">
      <c r="A1" s="16" t="s">
        <v>24</v>
      </c>
      <c r="B1" s="292"/>
      <c r="C1" s="292"/>
      <c r="D1" s="17"/>
      <c r="E1" s="400">
        <f>Totals!E8</f>
        <v>76258253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159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217</v>
      </c>
      <c r="B5" s="5" t="s">
        <v>217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13" customFormat="1">
      <c r="A7" s="105">
        <v>110</v>
      </c>
      <c r="B7" s="105">
        <v>110</v>
      </c>
      <c r="C7" s="105">
        <v>5105</v>
      </c>
      <c r="D7" s="13" t="s">
        <v>689</v>
      </c>
      <c r="E7" s="13" t="s">
        <v>394</v>
      </c>
      <c r="F7" s="36" t="s">
        <v>395</v>
      </c>
      <c r="G7" s="13" t="s">
        <v>396</v>
      </c>
      <c r="H7" s="289">
        <v>9115000</v>
      </c>
      <c r="I7" s="289">
        <v>9115000</v>
      </c>
      <c r="J7" s="11">
        <v>43832</v>
      </c>
      <c r="K7" s="11">
        <f>J7+35</f>
        <v>43867</v>
      </c>
      <c r="L7" s="67">
        <v>0</v>
      </c>
      <c r="M7" s="11">
        <f>J7+150</f>
        <v>43982</v>
      </c>
      <c r="N7" s="67">
        <v>0</v>
      </c>
      <c r="O7" s="67">
        <f>I7</f>
        <v>9115000</v>
      </c>
      <c r="P7" s="11">
        <v>43875</v>
      </c>
      <c r="Q7" s="43"/>
    </row>
    <row r="8" spans="1:22" s="397" customFormat="1">
      <c r="A8" s="390"/>
      <c r="B8" s="390"/>
      <c r="C8" s="390"/>
      <c r="D8" s="391"/>
      <c r="E8" s="390"/>
      <c r="F8" s="392"/>
      <c r="G8" s="392"/>
      <c r="H8" s="393"/>
      <c r="I8" s="393"/>
      <c r="J8" s="394"/>
      <c r="K8" s="394"/>
      <c r="L8" s="395"/>
      <c r="M8" s="394"/>
      <c r="N8" s="395"/>
      <c r="O8" s="395"/>
      <c r="P8" s="396"/>
    </row>
    <row r="9" spans="1:22" s="13" customFormat="1">
      <c r="A9" s="43"/>
      <c r="B9" s="43"/>
      <c r="C9" s="43"/>
      <c r="D9" s="43"/>
      <c r="E9" s="1"/>
      <c r="F9" s="13" t="s">
        <v>19</v>
      </c>
      <c r="H9" s="263">
        <f>SUM(H7:H8)</f>
        <v>9115000</v>
      </c>
      <c r="I9" s="263">
        <f>SUM(I7:I8)</f>
        <v>9115000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9115000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+E1-I9+O9+G17</f>
        <v>76258253</v>
      </c>
      <c r="I13" s="293"/>
      <c r="J13" s="138"/>
      <c r="L13" s="9"/>
      <c r="M13" s="138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3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3"/>
      <c r="J15" s="138"/>
      <c r="L15" s="9"/>
      <c r="M15" s="138"/>
      <c r="Q15" s="13"/>
    </row>
    <row r="16" spans="1:22">
      <c r="A16" s="111"/>
      <c r="B16" s="111"/>
      <c r="C16" s="111"/>
      <c r="G16" s="295"/>
      <c r="J16" s="109"/>
      <c r="K16" s="109"/>
      <c r="M16" s="109"/>
      <c r="P16" s="108"/>
      <c r="Q16" s="103"/>
      <c r="R16" s="103"/>
      <c r="S16" s="103"/>
      <c r="T16" s="103"/>
      <c r="U16" s="103"/>
      <c r="V16" s="103"/>
    </row>
    <row r="17" spans="5:11">
      <c r="E17" s="103"/>
      <c r="F17" s="103"/>
      <c r="G17" s="317">
        <f>SUM(G15:G16)</f>
        <v>0</v>
      </c>
      <c r="H17" s="104"/>
      <c r="I17" s="141"/>
      <c r="J17" s="141"/>
    </row>
    <row r="19" spans="5:11">
      <c r="E19" s="103"/>
      <c r="F19" s="103"/>
      <c r="G19" s="103"/>
      <c r="H19" s="112"/>
    </row>
    <row r="23" spans="5:11">
      <c r="H23" s="146"/>
    </row>
    <row r="28" spans="5:11">
      <c r="K28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5"/>
  <sheetViews>
    <sheetView workbookViewId="0">
      <selection activeCell="H17" sqref="H17"/>
    </sheetView>
  </sheetViews>
  <sheetFormatPr defaultColWidth="10.85546875" defaultRowHeight="12"/>
  <cols>
    <col min="1" max="1" width="9.42578125" style="13" customWidth="1"/>
    <col min="2" max="2" width="7.140625" style="13" bestFit="1" customWidth="1"/>
    <col min="3" max="3" width="10.140625" style="13" bestFit="1" customWidth="1"/>
    <col min="4" max="4" width="13.28515625" style="13" bestFit="1" customWidth="1"/>
    <col min="5" max="5" width="23" style="13" customWidth="1"/>
    <col min="6" max="6" width="40.28515625" style="13" customWidth="1"/>
    <col min="7" max="7" width="11.28515625" style="13" bestFit="1" customWidth="1"/>
    <col min="8" max="8" width="13.85546875" style="57" bestFit="1" customWidth="1"/>
    <col min="9" max="9" width="13.85546875" style="34" bestFit="1" customWidth="1"/>
    <col min="10" max="10" width="15.28515625" style="13" bestFit="1" customWidth="1"/>
    <col min="11" max="11" width="10.85546875" style="13" bestFit="1" customWidth="1"/>
    <col min="12" max="12" width="12.5703125" style="34" bestFit="1" customWidth="1"/>
    <col min="13" max="13" width="14.140625" style="13" customWidth="1"/>
    <col min="14" max="14" width="15.28515625" style="12" bestFit="1" customWidth="1"/>
    <col min="15" max="15" width="13.140625" style="12" bestFit="1" customWidth="1"/>
    <col min="16" max="16" width="10.5703125" style="13" bestFit="1" customWidth="1"/>
    <col min="17" max="17" width="10.28515625" style="13" bestFit="1" customWidth="1"/>
    <col min="18" max="18" width="35.28515625" style="13" bestFit="1" customWidth="1"/>
    <col min="19" max="19" width="12.7109375" style="13" bestFit="1" customWidth="1"/>
    <col min="20" max="16384" width="10.85546875" style="13"/>
  </cols>
  <sheetData>
    <row r="1" spans="1:22" s="17" customFormat="1">
      <c r="A1" s="16" t="s">
        <v>12</v>
      </c>
      <c r="B1" s="292"/>
      <c r="C1" s="292"/>
      <c r="E1" s="389">
        <f>Totals!F8</f>
        <v>100088956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401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5151</v>
      </c>
      <c r="D7" s="13" t="s">
        <v>622</v>
      </c>
      <c r="E7" s="36" t="s">
        <v>152</v>
      </c>
      <c r="F7" s="13" t="s">
        <v>677</v>
      </c>
      <c r="G7" s="13" t="s">
        <v>79</v>
      </c>
      <c r="H7" s="505">
        <v>21600000</v>
      </c>
      <c r="I7" s="505">
        <v>21600000</v>
      </c>
      <c r="J7" s="11">
        <v>43861</v>
      </c>
      <c r="K7" s="11">
        <f>J7+35</f>
        <v>43896</v>
      </c>
      <c r="L7" s="449">
        <v>21600000</v>
      </c>
      <c r="M7" s="11">
        <f>J7+180</f>
        <v>44041</v>
      </c>
      <c r="N7" s="449">
        <v>0</v>
      </c>
      <c r="O7" s="449">
        <f>L7-N7</f>
        <v>21600000</v>
      </c>
      <c r="P7" s="11">
        <v>44008</v>
      </c>
      <c r="Q7" s="13" t="s">
        <v>307</v>
      </c>
      <c r="S7" s="49"/>
    </row>
    <row r="8" spans="1:22">
      <c r="A8" s="13" t="s">
        <v>147</v>
      </c>
      <c r="B8" s="13" t="s">
        <v>147</v>
      </c>
      <c r="C8" s="13">
        <v>5205</v>
      </c>
      <c r="D8" s="13" t="s">
        <v>632</v>
      </c>
      <c r="E8" s="36" t="s">
        <v>152</v>
      </c>
      <c r="F8" s="13" t="s">
        <v>677</v>
      </c>
      <c r="G8" s="13" t="s">
        <v>79</v>
      </c>
      <c r="H8" s="505">
        <v>21600000</v>
      </c>
      <c r="I8" s="505">
        <v>21600000</v>
      </c>
      <c r="J8" s="11">
        <v>44035</v>
      </c>
      <c r="K8" s="11">
        <f>J8+35</f>
        <v>44070</v>
      </c>
      <c r="L8" s="449">
        <v>21600000</v>
      </c>
      <c r="M8" s="11">
        <f>J8+180</f>
        <v>44215</v>
      </c>
      <c r="N8" s="565">
        <v>16500000</v>
      </c>
      <c r="O8" s="565">
        <f>L8-N8</f>
        <v>5100000</v>
      </c>
      <c r="P8" s="580">
        <v>44174</v>
      </c>
      <c r="Q8" s="13" t="s">
        <v>307</v>
      </c>
      <c r="S8" s="49"/>
    </row>
    <row r="9" spans="1:22">
      <c r="A9" s="13" t="s">
        <v>147</v>
      </c>
      <c r="B9" s="13" t="s">
        <v>147</v>
      </c>
      <c r="C9" s="13">
        <v>5207</v>
      </c>
      <c r="D9" s="13" t="s">
        <v>622</v>
      </c>
      <c r="E9" s="36" t="s">
        <v>152</v>
      </c>
      <c r="F9" s="13" t="s">
        <v>818</v>
      </c>
      <c r="G9" s="13" t="s">
        <v>79</v>
      </c>
      <c r="H9" s="505">
        <v>31000000</v>
      </c>
      <c r="I9" s="505">
        <v>31000000</v>
      </c>
      <c r="J9" s="11">
        <v>44036</v>
      </c>
      <c r="K9" s="11">
        <f>J9+35</f>
        <v>44071</v>
      </c>
      <c r="L9" s="449">
        <v>31000000</v>
      </c>
      <c r="M9" s="11">
        <f>J9+180</f>
        <v>44216</v>
      </c>
      <c r="N9" s="449">
        <v>0</v>
      </c>
      <c r="O9" s="449">
        <f>L9-N9</f>
        <v>31000000</v>
      </c>
      <c r="P9" s="11">
        <v>44168</v>
      </c>
      <c r="Q9" s="13" t="s">
        <v>307</v>
      </c>
      <c r="S9" s="49"/>
    </row>
    <row r="10" spans="1:22">
      <c r="A10" s="13" t="s">
        <v>147</v>
      </c>
      <c r="B10" s="13" t="s">
        <v>147</v>
      </c>
      <c r="C10" s="13">
        <v>5209</v>
      </c>
      <c r="D10" s="13" t="s">
        <v>77</v>
      </c>
      <c r="E10" s="36" t="s">
        <v>152</v>
      </c>
      <c r="F10" s="13" t="s">
        <v>830</v>
      </c>
      <c r="G10" s="13" t="s">
        <v>79</v>
      </c>
      <c r="H10" s="505">
        <v>23500000</v>
      </c>
      <c r="I10" s="505">
        <v>23500000</v>
      </c>
      <c r="J10" s="11">
        <v>44044</v>
      </c>
      <c r="K10" s="11">
        <f>J10+35</f>
        <v>44079</v>
      </c>
      <c r="L10" s="449">
        <v>23500000</v>
      </c>
      <c r="M10" s="11">
        <f>J10+180</f>
        <v>44224</v>
      </c>
      <c r="N10" s="449"/>
      <c r="O10" s="449"/>
      <c r="P10" s="11"/>
      <c r="Q10" s="13" t="s">
        <v>307</v>
      </c>
      <c r="S10" s="49"/>
    </row>
    <row r="11" spans="1:22" s="481" customFormat="1">
      <c r="A11" s="481" t="s">
        <v>147</v>
      </c>
      <c r="B11" s="481" t="s">
        <v>875</v>
      </c>
      <c r="C11" s="481">
        <v>5242</v>
      </c>
      <c r="D11" s="481" t="s">
        <v>622</v>
      </c>
      <c r="E11" s="482" t="s">
        <v>152</v>
      </c>
      <c r="F11" s="481" t="s">
        <v>876</v>
      </c>
      <c r="G11" s="481" t="s">
        <v>81</v>
      </c>
      <c r="H11" s="554">
        <v>10000000</v>
      </c>
      <c r="I11" s="554">
        <v>10000000</v>
      </c>
      <c r="J11" s="485">
        <v>44055</v>
      </c>
      <c r="K11" s="485">
        <f>J11+35</f>
        <v>44090</v>
      </c>
      <c r="L11" s="511">
        <v>10000000</v>
      </c>
      <c r="M11" s="485">
        <f>J11+180</f>
        <v>44235</v>
      </c>
      <c r="N11" s="511">
        <v>0</v>
      </c>
      <c r="O11" s="511">
        <f>L11-N11</f>
        <v>10000000</v>
      </c>
      <c r="P11" s="485">
        <v>44168</v>
      </c>
      <c r="Q11" s="481" t="s">
        <v>307</v>
      </c>
      <c r="S11" s="555"/>
    </row>
    <row r="12" spans="1:22">
      <c r="E12" s="36"/>
      <c r="H12" s="59"/>
      <c r="I12" s="59"/>
      <c r="J12" s="11"/>
      <c r="K12" s="152"/>
      <c r="L12" s="303"/>
      <c r="M12" s="152"/>
      <c r="N12" s="303"/>
      <c r="O12" s="303"/>
      <c r="P12" s="11"/>
      <c r="S12" s="49"/>
    </row>
    <row r="13" spans="1:22">
      <c r="A13" s="43"/>
      <c r="B13" s="43"/>
      <c r="C13" s="43"/>
      <c r="D13" s="43"/>
      <c r="E13" s="1"/>
      <c r="F13" s="13" t="s">
        <v>19</v>
      </c>
      <c r="H13" s="263">
        <f>SUM(H7:H12)</f>
        <v>107700000</v>
      </c>
      <c r="I13" s="263">
        <f>SUM(I7:I12)</f>
        <v>107700000</v>
      </c>
      <c r="J13" s="10"/>
      <c r="K13" s="10"/>
      <c r="L13" s="263">
        <f>SUM(L7:L12)</f>
        <v>107700000</v>
      </c>
      <c r="M13" s="10"/>
      <c r="N13" s="263">
        <f>SUM(N7:N12)</f>
        <v>16500000</v>
      </c>
      <c r="O13" s="263">
        <f>SUM(O7:O12)</f>
        <v>67700000</v>
      </c>
    </row>
    <row r="14" spans="1:22" s="1" customFormat="1">
      <c r="A14" s="5"/>
      <c r="B14" s="5"/>
      <c r="C14" s="5"/>
      <c r="D14" s="88"/>
      <c r="F14" s="13"/>
      <c r="H14" s="76"/>
      <c r="J14" s="11"/>
      <c r="K14" s="11"/>
      <c r="L14" s="9"/>
      <c r="M14" s="6"/>
      <c r="P14" s="3"/>
      <c r="Q14" s="13"/>
    </row>
    <row r="15" spans="1:22" s="1" customFormat="1">
      <c r="A15" s="5"/>
      <c r="B15" s="5"/>
      <c r="C15" s="5"/>
      <c r="F15" s="13" t="s">
        <v>43</v>
      </c>
      <c r="G15" s="5"/>
      <c r="H15" s="34">
        <f>SUM(H13-I13)</f>
        <v>0</v>
      </c>
      <c r="I15" s="9"/>
      <c r="L15" s="9"/>
      <c r="Q15" s="13"/>
    </row>
    <row r="16" spans="1:22" s="1" customFormat="1">
      <c r="A16" s="5"/>
      <c r="B16" s="5"/>
      <c r="C16" s="5"/>
      <c r="G16" s="5"/>
      <c r="H16" s="67"/>
      <c r="I16" s="9"/>
      <c r="K16" s="138"/>
      <c r="L16" s="9"/>
      <c r="M16" s="3"/>
      <c r="N16" s="76"/>
      <c r="Q16" s="13"/>
    </row>
    <row r="17" spans="1:22" s="1" customFormat="1">
      <c r="A17" s="5"/>
      <c r="B17" s="5"/>
      <c r="C17" s="5"/>
      <c r="E17" s="133"/>
      <c r="F17" s="58" t="s">
        <v>10</v>
      </c>
      <c r="G17" s="5"/>
      <c r="H17" s="77">
        <f>E1-I13+O13+G21</f>
        <v>60088956</v>
      </c>
      <c r="I17" s="293"/>
      <c r="J17" s="138"/>
      <c r="L17" s="9"/>
      <c r="M17" s="3"/>
      <c r="N17" s="9"/>
      <c r="Q17" s="13"/>
    </row>
    <row r="18" spans="1:22" s="5" customFormat="1" ht="11.25" customHeight="1">
      <c r="A18" s="4"/>
      <c r="B18" s="4"/>
      <c r="C18" s="4"/>
      <c r="D18" s="48"/>
      <c r="E18" s="48"/>
      <c r="F18" s="4"/>
      <c r="G18" s="48"/>
      <c r="H18" s="75"/>
      <c r="I18" s="96"/>
      <c r="J18" s="6"/>
      <c r="K18" s="6"/>
      <c r="L18" s="60"/>
      <c r="M18" s="6"/>
      <c r="N18" s="44"/>
      <c r="O18" s="46"/>
      <c r="P18" s="6"/>
      <c r="Q18" s="48"/>
      <c r="T18" s="13"/>
      <c r="V18" s="67"/>
    </row>
    <row r="19" spans="1:22">
      <c r="G19" s="151"/>
      <c r="J19" s="11"/>
      <c r="L19" s="35"/>
    </row>
    <row r="20" spans="1:22">
      <c r="C20" s="43"/>
      <c r="D20" s="43"/>
      <c r="E20" s="148"/>
      <c r="F20" s="148"/>
      <c r="G20" s="417"/>
      <c r="H20" s="404"/>
      <c r="J20" s="11"/>
      <c r="L20" s="35"/>
    </row>
    <row r="21" spans="1:22">
      <c r="G21" s="406">
        <f>SUM(G20:G20)</f>
        <v>0</v>
      </c>
      <c r="J21" s="11"/>
      <c r="K21" s="98"/>
    </row>
    <row r="22" spans="1:22">
      <c r="G22" s="67"/>
      <c r="K22" s="98"/>
      <c r="L22" s="35"/>
    </row>
    <row r="23" spans="1:22">
      <c r="G23" s="67"/>
      <c r="K23" s="98"/>
    </row>
    <row r="24" spans="1:22">
      <c r="G24" s="67"/>
      <c r="K24" s="98"/>
      <c r="L24" s="208"/>
      <c r="M24" s="11"/>
    </row>
    <row r="25" spans="1:22">
      <c r="G25" s="67"/>
      <c r="K25" s="98"/>
      <c r="L25" s="35"/>
    </row>
    <row r="26" spans="1:22">
      <c r="G26" s="67"/>
      <c r="K26" s="98"/>
    </row>
    <row r="27" spans="1:22">
      <c r="G27" s="67"/>
      <c r="K27" s="98"/>
      <c r="L27" s="60"/>
      <c r="M27" s="410"/>
    </row>
    <row r="28" spans="1:22">
      <c r="G28" s="67"/>
      <c r="K28" s="98"/>
      <c r="L28" s="15"/>
      <c r="M28" s="410"/>
    </row>
    <row r="29" spans="1:22">
      <c r="G29" s="67"/>
      <c r="K29" s="98"/>
      <c r="L29" s="414"/>
      <c r="M29" s="49"/>
    </row>
    <row r="30" spans="1:22">
      <c r="G30" s="67"/>
      <c r="K30" s="98"/>
      <c r="L30" s="414"/>
      <c r="M30" s="49"/>
    </row>
    <row r="31" spans="1:22">
      <c r="G31" s="67"/>
      <c r="K31" s="98"/>
    </row>
    <row r="32" spans="1:22">
      <c r="G32" s="67"/>
      <c r="K32" s="98"/>
      <c r="L32" s="414"/>
    </row>
    <row r="33" spans="7:12">
      <c r="G33" s="67"/>
      <c r="K33" s="98"/>
      <c r="L33" s="414"/>
    </row>
    <row r="34" spans="7:12">
      <c r="G34" s="67"/>
      <c r="K34" s="98"/>
    </row>
    <row r="35" spans="7:12">
      <c r="G35" s="67"/>
      <c r="K35" s="98"/>
    </row>
    <row r="36" spans="7:12">
      <c r="G36" s="67"/>
      <c r="K36" s="98"/>
    </row>
    <row r="37" spans="7:12">
      <c r="G37" s="67"/>
      <c r="K37" s="98"/>
    </row>
    <row r="38" spans="7:12">
      <c r="G38" s="67"/>
      <c r="K38" s="98"/>
    </row>
    <row r="39" spans="7:12">
      <c r="G39" s="67"/>
      <c r="K39" s="98"/>
    </row>
    <row r="40" spans="7:12">
      <c r="G40" s="67"/>
      <c r="K40" s="98"/>
    </row>
    <row r="41" spans="7:12">
      <c r="G41" s="67"/>
      <c r="K41" s="98"/>
    </row>
    <row r="42" spans="7:12">
      <c r="G42" s="67"/>
      <c r="K42" s="98"/>
    </row>
    <row r="43" spans="7:12">
      <c r="G43" s="67"/>
      <c r="K43" s="98"/>
    </row>
    <row r="44" spans="7:12">
      <c r="G44" s="67"/>
      <c r="K44" s="98"/>
    </row>
    <row r="45" spans="7:12">
      <c r="G45" s="67"/>
      <c r="K45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5"/>
  <sheetViews>
    <sheetView zoomScaleNormal="100" workbookViewId="0">
      <pane ySplit="6" topLeftCell="A7" activePane="bottomLeft" state="frozen"/>
      <selection activeCell="K30" sqref="I28:K30"/>
      <selection pane="bottomLeft" activeCell="H19" sqref="H19"/>
    </sheetView>
  </sheetViews>
  <sheetFormatPr defaultColWidth="10.85546875" defaultRowHeight="12"/>
  <cols>
    <col min="1" max="1" width="9.7109375" style="13" customWidth="1"/>
    <col min="2" max="2" width="7.140625" style="13" bestFit="1" customWidth="1"/>
    <col min="3" max="3" width="10.140625" style="13" bestFit="1" customWidth="1"/>
    <col min="4" max="4" width="11" style="13" bestFit="1" customWidth="1"/>
    <col min="5" max="5" width="28" style="13" customWidth="1"/>
    <col min="6" max="6" width="37.7109375" style="13" bestFit="1" customWidth="1"/>
    <col min="7" max="7" width="12.28515625" style="13" bestFit="1" customWidth="1"/>
    <col min="8" max="8" width="13.85546875" style="65" bestFit="1" customWidth="1"/>
    <col min="9" max="9" width="12.7109375" style="65" bestFit="1" customWidth="1"/>
    <col min="10" max="10" width="15.28515625" style="127" bestFit="1" customWidth="1"/>
    <col min="11" max="11" width="10.85546875" style="13" customWidth="1"/>
    <col min="12" max="12" width="12.5703125" style="60" bestFit="1" customWidth="1"/>
    <col min="13" max="13" width="10.85546875" style="13" bestFit="1" customWidth="1"/>
    <col min="14" max="14" width="15.28515625" style="12" bestFit="1" customWidth="1"/>
    <col min="15" max="15" width="12.28515625" style="41" bestFit="1" customWidth="1"/>
    <col min="16" max="16" width="10.5703125" style="13" bestFit="1" customWidth="1"/>
    <col min="17" max="17" width="10.28515625" style="13" bestFit="1" customWidth="1"/>
    <col min="18" max="18" width="42.28515625" style="13" bestFit="1" customWidth="1"/>
    <col min="19" max="16384" width="10.85546875" style="13"/>
  </cols>
  <sheetData>
    <row r="1" spans="1:22" s="17" customFormat="1">
      <c r="A1" s="16" t="s">
        <v>12</v>
      </c>
      <c r="B1" s="292"/>
      <c r="C1" s="292"/>
      <c r="E1" s="400">
        <f>Totals!G8</f>
        <v>200177913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401" t="s">
        <v>9</v>
      </c>
      <c r="S6" s="13"/>
      <c r="T6" s="13"/>
      <c r="U6" s="13"/>
      <c r="V6" s="13"/>
    </row>
    <row r="7" spans="1:22">
      <c r="A7" s="13" t="s">
        <v>147</v>
      </c>
      <c r="B7" s="13" t="s">
        <v>147</v>
      </c>
      <c r="C7" s="13">
        <v>5167</v>
      </c>
      <c r="D7" s="13" t="s">
        <v>632</v>
      </c>
      <c r="E7" s="13" t="s">
        <v>76</v>
      </c>
      <c r="F7" s="13" t="s">
        <v>722</v>
      </c>
      <c r="G7" s="13" t="s">
        <v>81</v>
      </c>
      <c r="H7" s="289">
        <v>37850000</v>
      </c>
      <c r="I7" s="289">
        <v>37850000</v>
      </c>
      <c r="J7" s="11">
        <v>43909</v>
      </c>
      <c r="K7" s="11">
        <f t="shared" ref="K7:K13" si="0">J7+35</f>
        <v>43944</v>
      </c>
      <c r="L7" s="289">
        <v>37850000</v>
      </c>
      <c r="M7" s="11">
        <f t="shared" ref="M7:M13" si="1">J7+180</f>
        <v>44089</v>
      </c>
      <c r="N7" s="289">
        <v>35511000</v>
      </c>
      <c r="O7" s="289">
        <f>L7-N7</f>
        <v>2339000</v>
      </c>
      <c r="P7" s="11">
        <v>44091</v>
      </c>
      <c r="Q7" s="13" t="s">
        <v>257</v>
      </c>
      <c r="R7" s="474" t="s">
        <v>724</v>
      </c>
    </row>
    <row r="8" spans="1:22">
      <c r="A8" s="13" t="s">
        <v>147</v>
      </c>
      <c r="B8" s="13" t="s">
        <v>147</v>
      </c>
      <c r="C8" s="13">
        <v>5168</v>
      </c>
      <c r="D8" s="13" t="s">
        <v>632</v>
      </c>
      <c r="E8" s="13" t="s">
        <v>76</v>
      </c>
      <c r="F8" s="13" t="s">
        <v>723</v>
      </c>
      <c r="G8" s="13" t="s">
        <v>95</v>
      </c>
      <c r="H8" s="289">
        <v>40000000</v>
      </c>
      <c r="I8" s="289">
        <v>40000000</v>
      </c>
      <c r="J8" s="11">
        <v>43909</v>
      </c>
      <c r="K8" s="11">
        <f t="shared" si="0"/>
        <v>43944</v>
      </c>
      <c r="L8" s="289">
        <v>40000000</v>
      </c>
      <c r="M8" s="11">
        <f t="shared" si="1"/>
        <v>44089</v>
      </c>
      <c r="N8" s="289">
        <v>30000000</v>
      </c>
      <c r="O8" s="289">
        <f>L8-N8</f>
        <v>10000000</v>
      </c>
      <c r="P8" s="11">
        <v>44056</v>
      </c>
      <c r="Q8" s="13" t="s">
        <v>287</v>
      </c>
      <c r="R8" s="474" t="s">
        <v>724</v>
      </c>
    </row>
    <row r="9" spans="1:22">
      <c r="A9" s="13" t="s">
        <v>147</v>
      </c>
      <c r="B9" s="13" t="s">
        <v>147</v>
      </c>
      <c r="C9" s="13">
        <v>5188</v>
      </c>
      <c r="D9" s="13" t="s">
        <v>632</v>
      </c>
      <c r="E9" s="13" t="s">
        <v>76</v>
      </c>
      <c r="F9" s="13" t="s">
        <v>769</v>
      </c>
      <c r="G9" s="13" t="s">
        <v>770</v>
      </c>
      <c r="H9" s="289">
        <v>29000000</v>
      </c>
      <c r="I9" s="289">
        <v>29000000</v>
      </c>
      <c r="J9" s="11">
        <v>43987</v>
      </c>
      <c r="K9" s="11">
        <f t="shared" si="0"/>
        <v>44022</v>
      </c>
      <c r="L9" s="289">
        <v>29000000</v>
      </c>
      <c r="M9" s="11">
        <f t="shared" si="1"/>
        <v>44167</v>
      </c>
      <c r="N9" s="289">
        <v>29000000</v>
      </c>
      <c r="O9" s="289">
        <f>L9-N9</f>
        <v>0</v>
      </c>
      <c r="P9" s="11">
        <v>44076</v>
      </c>
      <c r="Q9" s="13" t="s">
        <v>258</v>
      </c>
      <c r="R9" s="474" t="s">
        <v>771</v>
      </c>
    </row>
    <row r="10" spans="1:22">
      <c r="A10" s="13" t="s">
        <v>147</v>
      </c>
      <c r="B10" s="13" t="s">
        <v>147</v>
      </c>
      <c r="C10" s="13">
        <v>5204</v>
      </c>
      <c r="D10" s="13" t="s">
        <v>77</v>
      </c>
      <c r="E10" s="13" t="s">
        <v>76</v>
      </c>
      <c r="F10" s="13" t="s">
        <v>808</v>
      </c>
      <c r="G10" s="13" t="s">
        <v>343</v>
      </c>
      <c r="H10" s="289">
        <v>35000000</v>
      </c>
      <c r="I10" s="289">
        <v>35000000</v>
      </c>
      <c r="J10" s="11">
        <v>44028</v>
      </c>
      <c r="K10" s="11">
        <f t="shared" si="0"/>
        <v>44063</v>
      </c>
      <c r="L10" s="289">
        <v>35000000</v>
      </c>
      <c r="M10" s="11">
        <f t="shared" si="1"/>
        <v>44208</v>
      </c>
      <c r="N10" s="289"/>
      <c r="O10" s="289"/>
      <c r="P10" s="11"/>
      <c r="Q10" s="13" t="s">
        <v>307</v>
      </c>
      <c r="R10" s="93"/>
    </row>
    <row r="11" spans="1:22">
      <c r="A11" s="13" t="s">
        <v>147</v>
      </c>
      <c r="B11" s="13" t="s">
        <v>147</v>
      </c>
      <c r="C11" s="13">
        <v>5244</v>
      </c>
      <c r="D11" s="13" t="s">
        <v>77</v>
      </c>
      <c r="E11" s="13" t="s">
        <v>76</v>
      </c>
      <c r="F11" s="13" t="s">
        <v>883</v>
      </c>
      <c r="G11" s="13" t="s">
        <v>79</v>
      </c>
      <c r="H11" s="289">
        <v>27500000</v>
      </c>
      <c r="I11" s="289">
        <v>27500000</v>
      </c>
      <c r="J11" s="11">
        <v>44056</v>
      </c>
      <c r="K11" s="11">
        <f t="shared" si="0"/>
        <v>44091</v>
      </c>
      <c r="L11" s="289">
        <v>27500000</v>
      </c>
      <c r="M11" s="11">
        <f t="shared" si="1"/>
        <v>44236</v>
      </c>
      <c r="N11" s="289"/>
      <c r="O11" s="289"/>
      <c r="P11" s="11"/>
      <c r="Q11" s="13" t="s">
        <v>307</v>
      </c>
      <c r="R11" s="93"/>
    </row>
    <row r="12" spans="1:22">
      <c r="A12" s="13" t="s">
        <v>147</v>
      </c>
      <c r="B12" s="13" t="s">
        <v>147</v>
      </c>
      <c r="C12" s="13">
        <v>5245</v>
      </c>
      <c r="D12" s="13" t="s">
        <v>77</v>
      </c>
      <c r="E12" s="13" t="s">
        <v>76</v>
      </c>
      <c r="F12" s="13" t="s">
        <v>884</v>
      </c>
      <c r="G12" s="13" t="s">
        <v>619</v>
      </c>
      <c r="H12" s="289">
        <v>12000000</v>
      </c>
      <c r="I12" s="289">
        <v>12000000</v>
      </c>
      <c r="J12" s="11">
        <v>44056</v>
      </c>
      <c r="K12" s="11">
        <f t="shared" si="0"/>
        <v>44091</v>
      </c>
      <c r="L12" s="289">
        <v>12000000</v>
      </c>
      <c r="M12" s="11">
        <f t="shared" si="1"/>
        <v>44236</v>
      </c>
      <c r="N12" s="289"/>
      <c r="O12" s="289"/>
      <c r="P12" s="11"/>
      <c r="Q12" s="13" t="s">
        <v>307</v>
      </c>
      <c r="R12" s="93"/>
    </row>
    <row r="13" spans="1:22" s="481" customFormat="1">
      <c r="A13" s="481" t="s">
        <v>147</v>
      </c>
      <c r="B13" s="481" t="s">
        <v>147</v>
      </c>
      <c r="C13" s="481">
        <v>5246</v>
      </c>
      <c r="D13" s="481" t="s">
        <v>77</v>
      </c>
      <c r="E13" s="481" t="s">
        <v>76</v>
      </c>
      <c r="F13" s="481" t="s">
        <v>885</v>
      </c>
      <c r="G13" s="481" t="s">
        <v>80</v>
      </c>
      <c r="H13" s="405">
        <v>20000000</v>
      </c>
      <c r="I13" s="405">
        <v>20000000</v>
      </c>
      <c r="J13" s="485">
        <v>44056</v>
      </c>
      <c r="K13" s="485">
        <f t="shared" si="0"/>
        <v>44091</v>
      </c>
      <c r="L13" s="405">
        <v>20000000</v>
      </c>
      <c r="M13" s="485">
        <f t="shared" si="1"/>
        <v>44236</v>
      </c>
      <c r="N13" s="405"/>
      <c r="O13" s="405"/>
      <c r="P13" s="485"/>
      <c r="Q13" s="481" t="s">
        <v>307</v>
      </c>
      <c r="R13" s="504"/>
    </row>
    <row r="14" spans="1:22">
      <c r="H14" s="289"/>
      <c r="I14" s="289"/>
      <c r="J14" s="11"/>
      <c r="K14" s="11"/>
      <c r="L14" s="289"/>
      <c r="M14" s="11"/>
      <c r="N14" s="289"/>
      <c r="O14" s="289"/>
      <c r="P14" s="11"/>
      <c r="R14" s="351"/>
    </row>
    <row r="15" spans="1:22">
      <c r="A15" s="43"/>
      <c r="B15" s="43"/>
      <c r="C15" s="43"/>
      <c r="D15" s="43"/>
      <c r="E15" s="1"/>
      <c r="F15" s="13" t="s">
        <v>19</v>
      </c>
      <c r="H15" s="263">
        <f>SUM(H7:H14)</f>
        <v>201350000</v>
      </c>
      <c r="I15" s="263">
        <f>SUM(I7:I14)</f>
        <v>201350000</v>
      </c>
      <c r="J15" s="10"/>
      <c r="K15" s="10"/>
      <c r="L15" s="263">
        <f>SUM(L7:L14)</f>
        <v>201350000</v>
      </c>
      <c r="M15" s="10"/>
      <c r="N15" s="263">
        <f>SUM(N7:N14)</f>
        <v>94511000</v>
      </c>
      <c r="O15" s="263">
        <f>SUM(O7:O14)</f>
        <v>12339000</v>
      </c>
    </row>
    <row r="16" spans="1:22" s="1" customFormat="1">
      <c r="A16" s="5"/>
      <c r="B16" s="5"/>
      <c r="C16" s="5"/>
      <c r="D16" s="88"/>
      <c r="F16" s="13"/>
      <c r="H16" s="76"/>
      <c r="J16" s="11"/>
      <c r="K16" s="11"/>
      <c r="L16" s="9"/>
      <c r="M16" s="6"/>
      <c r="Q16" s="13"/>
    </row>
    <row r="17" spans="1:17" s="1" customFormat="1">
      <c r="A17" s="5"/>
      <c r="B17" s="5"/>
      <c r="C17" s="5"/>
      <c r="E17" s="5"/>
      <c r="F17" s="13" t="s">
        <v>43</v>
      </c>
      <c r="G17" s="5"/>
      <c r="H17" s="34">
        <f>H15-I15</f>
        <v>0</v>
      </c>
      <c r="I17" s="9"/>
      <c r="K17" s="3"/>
      <c r="L17" s="9"/>
      <c r="M17" s="3"/>
      <c r="Q17" s="13"/>
    </row>
    <row r="18" spans="1:17" s="1" customFormat="1">
      <c r="A18" s="5"/>
      <c r="B18" s="5"/>
      <c r="C18" s="5"/>
      <c r="E18" s="5"/>
      <c r="G18" s="5"/>
      <c r="H18" s="67"/>
      <c r="I18" s="9"/>
      <c r="J18" s="3"/>
      <c r="K18" s="138"/>
      <c r="L18" s="9"/>
      <c r="M18" s="3"/>
      <c r="N18" s="76"/>
      <c r="Q18" s="13"/>
    </row>
    <row r="19" spans="1:17" s="1" customFormat="1">
      <c r="A19" s="5"/>
      <c r="B19" s="5"/>
      <c r="C19" s="5"/>
      <c r="E19" s="133"/>
      <c r="F19" s="58" t="s">
        <v>10</v>
      </c>
      <c r="G19" s="5"/>
      <c r="H19" s="77">
        <f>E1-I15+O15+G28</f>
        <v>11166913</v>
      </c>
      <c r="I19" s="293"/>
      <c r="J19" s="138"/>
      <c r="L19" s="3"/>
      <c r="M19" s="138"/>
      <c r="N19" s="353"/>
      <c r="O19" s="2"/>
      <c r="Q19" s="13"/>
    </row>
    <row r="20" spans="1:17">
      <c r="I20" s="304"/>
      <c r="L20" s="415"/>
      <c r="M20" s="11"/>
      <c r="N20" s="353"/>
      <c r="O20" s="2"/>
    </row>
    <row r="21" spans="1:17">
      <c r="H21" s="34"/>
      <c r="I21" s="128"/>
      <c r="J21" s="11"/>
      <c r="K21" s="60"/>
      <c r="L21" s="201"/>
      <c r="M21" s="414"/>
      <c r="N21" s="432"/>
      <c r="O21" s="415"/>
    </row>
    <row r="22" spans="1:17">
      <c r="F22" s="58"/>
      <c r="G22" s="262"/>
      <c r="I22" s="44"/>
      <c r="J22" s="49"/>
      <c r="K22" s="60"/>
      <c r="L22" s="11"/>
      <c r="M22" s="12"/>
      <c r="N22" s="422"/>
      <c r="O22" s="13"/>
    </row>
    <row r="23" spans="1:17">
      <c r="G23" s="10"/>
      <c r="H23" s="288"/>
      <c r="I23" s="164"/>
      <c r="M23" s="49"/>
      <c r="N23" s="414"/>
    </row>
    <row r="24" spans="1:17">
      <c r="G24" s="10"/>
      <c r="H24" s="288"/>
      <c r="I24" s="164"/>
      <c r="J24" s="12"/>
      <c r="L24" s="494"/>
      <c r="M24" s="49"/>
    </row>
    <row r="25" spans="1:17">
      <c r="G25" s="10"/>
      <c r="H25" s="288"/>
      <c r="I25" s="164"/>
      <c r="M25" s="49"/>
    </row>
    <row r="26" spans="1:17">
      <c r="G26" s="10"/>
      <c r="H26" s="288"/>
      <c r="I26" s="164"/>
      <c r="M26" s="49"/>
    </row>
    <row r="27" spans="1:17">
      <c r="G27" s="290"/>
      <c r="H27" s="288"/>
      <c r="I27" s="164"/>
      <c r="J27" s="11"/>
      <c r="M27" s="11"/>
    </row>
    <row r="28" spans="1:17">
      <c r="G28" s="296">
        <f>SUM(G23:G27)</f>
        <v>0</v>
      </c>
      <c r="J28" s="11"/>
    </row>
    <row r="29" spans="1:17">
      <c r="J29" s="11"/>
    </row>
    <row r="30" spans="1:17">
      <c r="J30" s="11"/>
    </row>
    <row r="34" spans="10:10">
      <c r="J34" s="11"/>
    </row>
    <row r="35" spans="10:10">
      <c r="J35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9"/>
  <sheetViews>
    <sheetView topLeftCell="A21" workbookViewId="0">
      <selection activeCell="L61" sqref="L61:L62"/>
    </sheetView>
  </sheetViews>
  <sheetFormatPr defaultColWidth="9.140625" defaultRowHeight="12"/>
  <cols>
    <col min="1" max="1" width="9" style="1" customWidth="1"/>
    <col min="2" max="2" width="6.5703125" style="1" bestFit="1" customWidth="1"/>
    <col min="3" max="3" width="10.140625" style="1" customWidth="1"/>
    <col min="4" max="4" width="13.28515625" style="1" bestFit="1" customWidth="1"/>
    <col min="5" max="5" width="25.28515625" style="1" bestFit="1" customWidth="1"/>
    <col min="6" max="6" width="51.7109375" style="1" bestFit="1" customWidth="1"/>
    <col min="7" max="7" width="14.42578125" style="1" customWidth="1"/>
    <col min="8" max="8" width="16" style="1" customWidth="1"/>
    <col min="9" max="9" width="12.7109375" style="1" bestFit="1" customWidth="1"/>
    <col min="10" max="10" width="14" style="1" customWidth="1"/>
    <col min="11" max="11" width="10.85546875" style="1" customWidth="1"/>
    <col min="12" max="12" width="12.85546875" style="1" customWidth="1"/>
    <col min="13" max="13" width="10.42578125" style="1" customWidth="1"/>
    <col min="14" max="14" width="14" style="1" customWidth="1"/>
    <col min="15" max="15" width="14" style="140" bestFit="1" customWidth="1"/>
    <col min="16" max="16" width="9.85546875" style="1" customWidth="1"/>
    <col min="17" max="17" width="9.140625" style="1" bestFit="1" customWidth="1"/>
    <col min="18" max="18" width="40.42578125" style="1" customWidth="1"/>
    <col min="19" max="19" width="17.7109375" style="1" bestFit="1" customWidth="1"/>
    <col min="20" max="16384" width="9.140625" style="1"/>
  </cols>
  <sheetData>
    <row r="1" spans="1:22" s="17" customFormat="1">
      <c r="A1" s="16" t="s">
        <v>12</v>
      </c>
      <c r="B1" s="292"/>
      <c r="C1" s="292"/>
      <c r="E1" s="389">
        <f>'REGION 1'!H15+'REGION 2'!H13+'REGION 3'!H32+'REGION 4'!H14+'REGION 5'!H14+'REGION 6'!H29+'REGION 7'!H34+'REGION 8'!H13+'REGION 9'!H15+'REGION 10'!H13+'REGION 11'!H13+'REGION 12'!H13+'REGION 13'!H13</f>
        <v>481268649.92999995</v>
      </c>
      <c r="F1" s="18"/>
      <c r="G1" s="18"/>
      <c r="H1" s="334"/>
      <c r="I1" s="335"/>
      <c r="J1" s="284"/>
      <c r="K1" s="284"/>
      <c r="L1" s="335"/>
      <c r="M1" s="284"/>
      <c r="N1" s="334"/>
      <c r="O1" s="334"/>
      <c r="P1" s="284"/>
      <c r="R1" s="285"/>
      <c r="S1" s="5"/>
      <c r="T1" s="5"/>
      <c r="U1" s="5"/>
      <c r="V1" s="5"/>
    </row>
    <row r="2" spans="1:22" s="5" customFormat="1">
      <c r="A2" s="25" t="s">
        <v>163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216</v>
      </c>
      <c r="B4" s="5" t="s">
        <v>218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160</v>
      </c>
      <c r="N4" s="32" t="s">
        <v>27</v>
      </c>
      <c r="O4" s="32" t="s">
        <v>44</v>
      </c>
      <c r="P4" s="6" t="s">
        <v>22</v>
      </c>
      <c r="Q4" s="5" t="s">
        <v>179</v>
      </c>
      <c r="R4" s="30" t="s">
        <v>330</v>
      </c>
      <c r="S4" s="13"/>
      <c r="T4" s="13"/>
      <c r="U4" s="13"/>
      <c r="V4" s="13"/>
    </row>
    <row r="5" spans="1:22" s="5" customFormat="1">
      <c r="A5" s="31" t="s">
        <v>217</v>
      </c>
      <c r="B5" s="5" t="s">
        <v>217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178</v>
      </c>
      <c r="R5" s="30" t="s">
        <v>331</v>
      </c>
      <c r="S5" s="13"/>
      <c r="T5" s="13"/>
      <c r="U5" s="13"/>
      <c r="V5" s="13"/>
    </row>
    <row r="6" spans="1:22" s="5" customFormat="1" ht="12.75" thickBot="1">
      <c r="A6" s="37"/>
      <c r="B6" s="33"/>
      <c r="C6" s="33" t="s">
        <v>180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401" t="s">
        <v>9</v>
      </c>
      <c r="S6" s="13"/>
      <c r="T6" s="13"/>
      <c r="U6" s="13"/>
      <c r="V6" s="13"/>
    </row>
    <row r="7" spans="1:22" s="13" customFormat="1">
      <c r="A7" s="13">
        <v>19</v>
      </c>
      <c r="B7" s="13">
        <v>23</v>
      </c>
      <c r="C7" s="13">
        <v>5161</v>
      </c>
      <c r="D7" s="13" t="s">
        <v>622</v>
      </c>
      <c r="E7" s="13" t="s">
        <v>222</v>
      </c>
      <c r="F7" s="36" t="s">
        <v>406</v>
      </c>
      <c r="G7" s="36" t="s">
        <v>223</v>
      </c>
      <c r="H7" s="289">
        <v>25000000</v>
      </c>
      <c r="I7" s="289">
        <f>H7</f>
        <v>25000000</v>
      </c>
      <c r="J7" s="11">
        <v>43895</v>
      </c>
      <c r="K7" s="11">
        <f t="shared" ref="K7:K13" si="0">J7+35</f>
        <v>43930</v>
      </c>
      <c r="L7" s="289">
        <v>25000000</v>
      </c>
      <c r="M7" s="11">
        <f t="shared" ref="M7:M13" si="1">J7+180</f>
        <v>44075</v>
      </c>
      <c r="N7" s="353">
        <v>0</v>
      </c>
      <c r="O7" s="289">
        <f t="shared" ref="O7:O13" si="2">L7-N7</f>
        <v>25000000</v>
      </c>
      <c r="P7" s="11">
        <v>43952</v>
      </c>
      <c r="Q7" s="13" t="s">
        <v>219</v>
      </c>
      <c r="R7" s="474" t="s">
        <v>715</v>
      </c>
    </row>
    <row r="8" spans="1:22" s="13" customFormat="1">
      <c r="A8" s="13">
        <v>26</v>
      </c>
      <c r="B8" s="13">
        <v>32</v>
      </c>
      <c r="C8" s="13">
        <v>5162</v>
      </c>
      <c r="D8" s="13" t="s">
        <v>622</v>
      </c>
      <c r="E8" s="13" t="s">
        <v>288</v>
      </c>
      <c r="F8" s="36" t="s">
        <v>407</v>
      </c>
      <c r="G8" s="36" t="s">
        <v>221</v>
      </c>
      <c r="H8" s="289">
        <v>15000000</v>
      </c>
      <c r="I8" s="289">
        <f>H8</f>
        <v>15000000</v>
      </c>
      <c r="J8" s="11">
        <v>43895</v>
      </c>
      <c r="K8" s="11">
        <f t="shared" si="0"/>
        <v>43930</v>
      </c>
      <c r="L8" s="289">
        <v>15000000</v>
      </c>
      <c r="M8" s="11">
        <f t="shared" si="1"/>
        <v>44075</v>
      </c>
      <c r="N8" s="353">
        <v>0</v>
      </c>
      <c r="O8" s="289">
        <f t="shared" si="2"/>
        <v>15000000</v>
      </c>
      <c r="P8" s="11">
        <v>43952</v>
      </c>
      <c r="Q8" s="13" t="s">
        <v>219</v>
      </c>
      <c r="R8" s="474" t="s">
        <v>716</v>
      </c>
    </row>
    <row r="9" spans="1:22" s="13" customFormat="1">
      <c r="A9" s="13">
        <v>134</v>
      </c>
      <c r="B9" s="13">
        <v>37</v>
      </c>
      <c r="C9" s="13">
        <v>5189</v>
      </c>
      <c r="D9" s="13" t="s">
        <v>622</v>
      </c>
      <c r="E9" s="13" t="s">
        <v>288</v>
      </c>
      <c r="F9" s="36" t="s">
        <v>408</v>
      </c>
      <c r="G9" s="36" t="s">
        <v>221</v>
      </c>
      <c r="H9" s="289">
        <v>25000000</v>
      </c>
      <c r="I9" s="289">
        <v>25000000</v>
      </c>
      <c r="J9" s="11">
        <v>43991</v>
      </c>
      <c r="K9" s="11">
        <f t="shared" si="0"/>
        <v>44026</v>
      </c>
      <c r="L9" s="289">
        <v>25000000</v>
      </c>
      <c r="M9" s="11">
        <f t="shared" si="1"/>
        <v>44171</v>
      </c>
      <c r="N9" s="353">
        <v>0</v>
      </c>
      <c r="O9" s="289">
        <f t="shared" si="2"/>
        <v>25000000</v>
      </c>
      <c r="P9" s="11">
        <v>44071</v>
      </c>
      <c r="Q9" s="13" t="s">
        <v>258</v>
      </c>
      <c r="R9" s="474" t="s">
        <v>773</v>
      </c>
    </row>
    <row r="10" spans="1:22" s="13" customFormat="1">
      <c r="A10" s="13">
        <v>32</v>
      </c>
      <c r="B10" s="13">
        <v>44</v>
      </c>
      <c r="C10" s="13">
        <v>5163</v>
      </c>
      <c r="D10" s="13" t="s">
        <v>622</v>
      </c>
      <c r="E10" s="13" t="s">
        <v>98</v>
      </c>
      <c r="F10" s="36" t="s">
        <v>197</v>
      </c>
      <c r="G10" s="36" t="s">
        <v>79</v>
      </c>
      <c r="H10" s="449">
        <v>30000000</v>
      </c>
      <c r="I10" s="289">
        <f>H10</f>
        <v>30000000</v>
      </c>
      <c r="J10" s="11">
        <v>43895</v>
      </c>
      <c r="K10" s="11">
        <f t="shared" si="0"/>
        <v>43930</v>
      </c>
      <c r="L10" s="289">
        <v>30000000</v>
      </c>
      <c r="M10" s="11">
        <f t="shared" si="1"/>
        <v>44075</v>
      </c>
      <c r="N10" s="289">
        <v>0</v>
      </c>
      <c r="O10" s="289">
        <f t="shared" si="2"/>
        <v>30000000</v>
      </c>
      <c r="P10" s="11">
        <v>44034</v>
      </c>
      <c r="Q10" s="13" t="s">
        <v>219</v>
      </c>
      <c r="R10" s="474" t="s">
        <v>715</v>
      </c>
    </row>
    <row r="11" spans="1:22" s="13" customFormat="1">
      <c r="A11" s="13">
        <v>41</v>
      </c>
      <c r="B11" s="13">
        <v>53</v>
      </c>
      <c r="C11" s="13">
        <v>5164</v>
      </c>
      <c r="D11" s="13" t="s">
        <v>632</v>
      </c>
      <c r="E11" s="13" t="s">
        <v>141</v>
      </c>
      <c r="F11" s="36" t="s">
        <v>304</v>
      </c>
      <c r="G11" s="36" t="s">
        <v>305</v>
      </c>
      <c r="H11" s="449">
        <v>35000000</v>
      </c>
      <c r="I11" s="289">
        <f>H11</f>
        <v>35000000</v>
      </c>
      <c r="J11" s="11">
        <v>43895</v>
      </c>
      <c r="K11" s="11">
        <f t="shared" si="0"/>
        <v>43930</v>
      </c>
      <c r="L11" s="289">
        <v>35000000</v>
      </c>
      <c r="M11" s="11">
        <f t="shared" si="1"/>
        <v>44075</v>
      </c>
      <c r="N11" s="289">
        <v>21590000</v>
      </c>
      <c r="O11" s="289">
        <f t="shared" si="2"/>
        <v>13410000</v>
      </c>
      <c r="P11" s="11">
        <v>44076</v>
      </c>
      <c r="Q11" s="13" t="s">
        <v>287</v>
      </c>
      <c r="R11" s="474" t="s">
        <v>715</v>
      </c>
      <c r="S11" s="437" t="s">
        <v>718</v>
      </c>
    </row>
    <row r="12" spans="1:22" s="13" customFormat="1">
      <c r="A12" s="13">
        <v>43</v>
      </c>
      <c r="B12" s="13">
        <v>55</v>
      </c>
      <c r="C12" s="13">
        <v>5165</v>
      </c>
      <c r="D12" s="13" t="s">
        <v>622</v>
      </c>
      <c r="E12" s="13" t="s">
        <v>141</v>
      </c>
      <c r="F12" s="36" t="s">
        <v>480</v>
      </c>
      <c r="G12" s="36" t="s">
        <v>485</v>
      </c>
      <c r="H12" s="449">
        <v>64819515</v>
      </c>
      <c r="I12" s="289">
        <f>H12</f>
        <v>64819515</v>
      </c>
      <c r="J12" s="11">
        <v>43895</v>
      </c>
      <c r="K12" s="11">
        <f t="shared" si="0"/>
        <v>43930</v>
      </c>
      <c r="L12" s="289">
        <v>64819515</v>
      </c>
      <c r="M12" s="11">
        <f t="shared" si="1"/>
        <v>44075</v>
      </c>
      <c r="N12" s="289">
        <v>0</v>
      </c>
      <c r="O12" s="289">
        <f t="shared" si="2"/>
        <v>64819515</v>
      </c>
      <c r="P12" s="11">
        <v>44047</v>
      </c>
      <c r="Q12" s="13" t="s">
        <v>287</v>
      </c>
      <c r="R12" s="474" t="s">
        <v>714</v>
      </c>
    </row>
    <row r="13" spans="1:22" s="13" customFormat="1">
      <c r="A13" s="13">
        <v>46</v>
      </c>
      <c r="B13" s="13">
        <v>57</v>
      </c>
      <c r="C13" s="13">
        <v>5178</v>
      </c>
      <c r="D13" s="13" t="s">
        <v>622</v>
      </c>
      <c r="E13" s="13" t="s">
        <v>98</v>
      </c>
      <c r="F13" s="36" t="s">
        <v>481</v>
      </c>
      <c r="G13" s="36" t="s">
        <v>79</v>
      </c>
      <c r="H13" s="449">
        <v>34600000</v>
      </c>
      <c r="I13" s="289">
        <f>H13</f>
        <v>34600000</v>
      </c>
      <c r="J13" s="11">
        <v>43946</v>
      </c>
      <c r="K13" s="11">
        <f t="shared" si="0"/>
        <v>43981</v>
      </c>
      <c r="L13" s="289">
        <v>34600000</v>
      </c>
      <c r="M13" s="11">
        <f t="shared" si="1"/>
        <v>44126</v>
      </c>
      <c r="N13" s="289">
        <v>0</v>
      </c>
      <c r="O13" s="289">
        <f t="shared" si="2"/>
        <v>34600000</v>
      </c>
      <c r="P13" s="11">
        <v>44086</v>
      </c>
      <c r="Q13" s="13" t="s">
        <v>287</v>
      </c>
      <c r="R13" s="474" t="s">
        <v>752</v>
      </c>
    </row>
    <row r="14" spans="1:22" s="5" customFormat="1">
      <c r="A14" s="13">
        <v>72</v>
      </c>
      <c r="B14" s="13">
        <v>80</v>
      </c>
      <c r="C14" s="13" t="s">
        <v>465</v>
      </c>
      <c r="D14" s="13" t="s">
        <v>622</v>
      </c>
      <c r="E14" s="13" t="s">
        <v>141</v>
      </c>
      <c r="F14" s="36" t="s">
        <v>482</v>
      </c>
      <c r="G14" s="36" t="s">
        <v>483</v>
      </c>
      <c r="H14" s="66">
        <v>0</v>
      </c>
      <c r="I14" s="27"/>
      <c r="J14" s="11"/>
      <c r="K14" s="11"/>
      <c r="L14" s="27"/>
      <c r="M14" s="11"/>
      <c r="N14" s="27"/>
      <c r="O14" s="27"/>
      <c r="P14" s="11"/>
      <c r="Q14" s="13" t="s">
        <v>287</v>
      </c>
      <c r="R14" s="93" t="s">
        <v>759</v>
      </c>
      <c r="S14" s="13"/>
    </row>
    <row r="15" spans="1:22" s="13" customFormat="1">
      <c r="A15" s="13">
        <v>80</v>
      </c>
      <c r="B15" s="13">
        <v>86</v>
      </c>
      <c r="C15" s="13">
        <v>5181</v>
      </c>
      <c r="D15" s="13" t="s">
        <v>632</v>
      </c>
      <c r="E15" s="13" t="s">
        <v>143</v>
      </c>
      <c r="F15" s="36" t="s">
        <v>341</v>
      </c>
      <c r="G15" s="36" t="s">
        <v>79</v>
      </c>
      <c r="H15" s="449">
        <v>14819515</v>
      </c>
      <c r="I15" s="289">
        <f>H15</f>
        <v>14819515</v>
      </c>
      <c r="J15" s="11">
        <v>43959</v>
      </c>
      <c r="K15" s="11">
        <f>J15+35</f>
        <v>43994</v>
      </c>
      <c r="L15" s="289">
        <v>14819515</v>
      </c>
      <c r="M15" s="11">
        <f>J15+180</f>
        <v>44139</v>
      </c>
      <c r="N15" s="289">
        <v>5150000</v>
      </c>
      <c r="O15" s="289">
        <f>L15-N15</f>
        <v>9669515</v>
      </c>
      <c r="P15" s="11">
        <v>44142</v>
      </c>
      <c r="Q15" s="13" t="s">
        <v>287</v>
      </c>
      <c r="R15" s="474" t="s">
        <v>766</v>
      </c>
    </row>
    <row r="16" spans="1:22" s="13" customFormat="1">
      <c r="A16" s="13">
        <v>82</v>
      </c>
      <c r="B16" s="13">
        <v>88</v>
      </c>
      <c r="C16" s="13" t="s">
        <v>467</v>
      </c>
      <c r="D16" s="13" t="s">
        <v>622</v>
      </c>
      <c r="E16" s="13" t="s">
        <v>141</v>
      </c>
      <c r="F16" s="36" t="s">
        <v>484</v>
      </c>
      <c r="G16" s="36" t="s">
        <v>485</v>
      </c>
      <c r="H16" s="66">
        <v>0</v>
      </c>
      <c r="I16" s="27"/>
      <c r="J16" s="11"/>
      <c r="K16" s="11"/>
      <c r="L16" s="27"/>
      <c r="M16" s="11"/>
      <c r="N16" s="27"/>
      <c r="O16" s="27"/>
      <c r="P16" s="11"/>
      <c r="Q16" s="13" t="s">
        <v>287</v>
      </c>
      <c r="R16" s="11"/>
    </row>
    <row r="17" spans="1:19" s="13" customFormat="1">
      <c r="A17" s="13">
        <v>83</v>
      </c>
      <c r="B17" s="13">
        <v>89</v>
      </c>
      <c r="C17" s="13" t="s">
        <v>468</v>
      </c>
      <c r="D17" s="13" t="s">
        <v>622</v>
      </c>
      <c r="E17" s="13" t="s">
        <v>141</v>
      </c>
      <c r="F17" s="36" t="s">
        <v>486</v>
      </c>
      <c r="G17" s="36" t="s">
        <v>488</v>
      </c>
      <c r="H17" s="449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287</v>
      </c>
      <c r="R17" s="93" t="s">
        <v>817</v>
      </c>
    </row>
    <row r="18" spans="1:19" s="13" customFormat="1">
      <c r="A18" s="13">
        <v>95</v>
      </c>
      <c r="B18" s="13">
        <v>101</v>
      </c>
      <c r="C18" s="13" t="s">
        <v>417</v>
      </c>
      <c r="D18" s="13" t="s">
        <v>622</v>
      </c>
      <c r="E18" s="13" t="s">
        <v>289</v>
      </c>
      <c r="F18" s="36" t="s">
        <v>430</v>
      </c>
      <c r="G18" s="36" t="s">
        <v>78</v>
      </c>
      <c r="H18" s="449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287</v>
      </c>
      <c r="R18" s="93" t="s">
        <v>785</v>
      </c>
    </row>
    <row r="19" spans="1:19" s="13" customFormat="1">
      <c r="A19" s="13">
        <v>102</v>
      </c>
      <c r="B19" s="13">
        <v>107</v>
      </c>
      <c r="C19" s="13" t="s">
        <v>471</v>
      </c>
      <c r="D19" s="13" t="s">
        <v>622</v>
      </c>
      <c r="E19" s="13" t="s">
        <v>141</v>
      </c>
      <c r="F19" s="36" t="s">
        <v>487</v>
      </c>
      <c r="G19" s="36" t="s">
        <v>488</v>
      </c>
      <c r="H19" s="449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287</v>
      </c>
      <c r="R19" s="93" t="s">
        <v>821</v>
      </c>
    </row>
    <row r="20" spans="1:19" s="13" customFormat="1">
      <c r="A20" s="13">
        <v>103</v>
      </c>
      <c r="B20" s="13">
        <v>108</v>
      </c>
      <c r="C20" s="13">
        <v>5208</v>
      </c>
      <c r="D20" s="13" t="s">
        <v>77</v>
      </c>
      <c r="E20" s="13" t="s">
        <v>97</v>
      </c>
      <c r="F20" s="36" t="s">
        <v>431</v>
      </c>
      <c r="G20" s="36" t="s">
        <v>95</v>
      </c>
      <c r="H20" s="449">
        <v>38100000</v>
      </c>
      <c r="I20" s="289">
        <v>38100000</v>
      </c>
      <c r="J20" s="11">
        <v>44041</v>
      </c>
      <c r="K20" s="11">
        <f t="shared" ref="K20:K28" si="3">J20+35</f>
        <v>44076</v>
      </c>
      <c r="L20" s="289">
        <v>38100000</v>
      </c>
      <c r="M20" s="11">
        <f t="shared" ref="M20:M28" si="4">J20+180</f>
        <v>44221</v>
      </c>
      <c r="N20" s="289"/>
      <c r="O20" s="289"/>
      <c r="P20" s="11"/>
      <c r="Q20" s="13" t="s">
        <v>287</v>
      </c>
      <c r="R20" s="474" t="s">
        <v>820</v>
      </c>
    </row>
    <row r="21" spans="1:19" s="13" customFormat="1">
      <c r="A21" s="13">
        <v>107</v>
      </c>
      <c r="B21" s="13">
        <v>112</v>
      </c>
      <c r="C21" s="13">
        <v>5233</v>
      </c>
      <c r="D21" s="13" t="s">
        <v>77</v>
      </c>
      <c r="E21" s="13" t="s">
        <v>141</v>
      </c>
      <c r="F21" s="36" t="s">
        <v>489</v>
      </c>
      <c r="G21" s="36" t="s">
        <v>594</v>
      </c>
      <c r="H21" s="449">
        <v>64819515</v>
      </c>
      <c r="I21" s="289">
        <f t="shared" ref="I21:I26" si="5">H21</f>
        <v>64819515</v>
      </c>
      <c r="J21" s="11">
        <v>44050</v>
      </c>
      <c r="K21" s="11">
        <f t="shared" si="3"/>
        <v>44085</v>
      </c>
      <c r="L21" s="289">
        <f>I21</f>
        <v>64819515</v>
      </c>
      <c r="M21" s="11">
        <f t="shared" si="4"/>
        <v>44230</v>
      </c>
      <c r="N21" s="353"/>
      <c r="O21" s="289"/>
      <c r="P21" s="11"/>
      <c r="Q21" s="13" t="s">
        <v>287</v>
      </c>
      <c r="R21" s="474" t="s">
        <v>854</v>
      </c>
    </row>
    <row r="22" spans="1:19" s="13" customFormat="1">
      <c r="A22" s="13">
        <v>112</v>
      </c>
      <c r="B22" s="13">
        <v>117</v>
      </c>
      <c r="C22" s="13">
        <v>5234</v>
      </c>
      <c r="D22" s="13" t="s">
        <v>622</v>
      </c>
      <c r="E22" s="13" t="s">
        <v>98</v>
      </c>
      <c r="F22" s="36" t="s">
        <v>490</v>
      </c>
      <c r="G22" s="36" t="s">
        <v>79</v>
      </c>
      <c r="H22" s="449">
        <v>40000000</v>
      </c>
      <c r="I22" s="289">
        <f t="shared" si="5"/>
        <v>40000000</v>
      </c>
      <c r="J22" s="11">
        <v>44050</v>
      </c>
      <c r="K22" s="11">
        <f t="shared" si="3"/>
        <v>44085</v>
      </c>
      <c r="L22" s="289">
        <v>0</v>
      </c>
      <c r="M22" s="11">
        <f t="shared" si="4"/>
        <v>44230</v>
      </c>
      <c r="N22" s="289">
        <v>0</v>
      </c>
      <c r="O22" s="289">
        <f>I22-L22</f>
        <v>40000000</v>
      </c>
      <c r="P22" s="11">
        <v>44054</v>
      </c>
      <c r="Q22" s="13" t="s">
        <v>307</v>
      </c>
      <c r="R22" s="11"/>
    </row>
    <row r="23" spans="1:19" s="13" customFormat="1">
      <c r="A23" s="13">
        <v>113</v>
      </c>
      <c r="B23" s="13">
        <v>119</v>
      </c>
      <c r="C23" s="13">
        <v>5235</v>
      </c>
      <c r="D23" s="13" t="s">
        <v>77</v>
      </c>
      <c r="E23" s="13" t="s">
        <v>297</v>
      </c>
      <c r="F23" s="36" t="s">
        <v>458</v>
      </c>
      <c r="G23" s="36" t="s">
        <v>80</v>
      </c>
      <c r="H23" s="289">
        <v>50000000</v>
      </c>
      <c r="I23" s="289">
        <f t="shared" si="5"/>
        <v>50000000</v>
      </c>
      <c r="J23" s="11">
        <v>44050</v>
      </c>
      <c r="K23" s="11">
        <f t="shared" si="3"/>
        <v>44085</v>
      </c>
      <c r="L23" s="289">
        <v>50000000</v>
      </c>
      <c r="M23" s="11">
        <f t="shared" si="4"/>
        <v>44230</v>
      </c>
      <c r="N23" s="353"/>
      <c r="O23" s="315"/>
      <c r="P23" s="11"/>
      <c r="Q23" s="13" t="s">
        <v>307</v>
      </c>
    </row>
    <row r="24" spans="1:19" s="13" customFormat="1">
      <c r="A24" s="13">
        <v>115</v>
      </c>
      <c r="B24" s="13">
        <v>121</v>
      </c>
      <c r="C24" s="13">
        <v>5236</v>
      </c>
      <c r="D24" s="13" t="s">
        <v>77</v>
      </c>
      <c r="E24" s="13" t="s">
        <v>141</v>
      </c>
      <c r="F24" s="36" t="s">
        <v>491</v>
      </c>
      <c r="G24" s="36" t="s">
        <v>142</v>
      </c>
      <c r="H24" s="449">
        <v>10000000</v>
      </c>
      <c r="I24" s="289">
        <f t="shared" si="5"/>
        <v>10000000</v>
      </c>
      <c r="J24" s="11">
        <v>44050</v>
      </c>
      <c r="K24" s="11">
        <f t="shared" si="3"/>
        <v>44085</v>
      </c>
      <c r="L24" s="289">
        <v>10000000</v>
      </c>
      <c r="M24" s="11">
        <f t="shared" si="4"/>
        <v>44230</v>
      </c>
      <c r="N24" s="289"/>
      <c r="O24" s="289"/>
      <c r="P24" s="11"/>
      <c r="Q24" s="13" t="s">
        <v>307</v>
      </c>
      <c r="R24" s="11"/>
    </row>
    <row r="25" spans="1:19" s="13" customFormat="1">
      <c r="A25" s="13">
        <v>119</v>
      </c>
      <c r="B25" s="13">
        <v>123</v>
      </c>
      <c r="C25" s="13">
        <v>5237</v>
      </c>
      <c r="D25" s="13" t="s">
        <v>622</v>
      </c>
      <c r="E25" s="13" t="s">
        <v>98</v>
      </c>
      <c r="F25" s="36" t="s">
        <v>318</v>
      </c>
      <c r="G25" s="36" t="s">
        <v>79</v>
      </c>
      <c r="H25" s="449">
        <v>18000000</v>
      </c>
      <c r="I25" s="289">
        <f t="shared" si="5"/>
        <v>18000000</v>
      </c>
      <c r="J25" s="11">
        <v>44050</v>
      </c>
      <c r="K25" s="11">
        <f t="shared" si="3"/>
        <v>44085</v>
      </c>
      <c r="L25" s="289">
        <v>18000000</v>
      </c>
      <c r="M25" s="11">
        <f t="shared" si="4"/>
        <v>44230</v>
      </c>
      <c r="N25" s="289">
        <v>0</v>
      </c>
      <c r="O25" s="289">
        <f>L25-N25</f>
        <v>18000000</v>
      </c>
      <c r="P25" s="11">
        <v>44175</v>
      </c>
      <c r="Q25" s="13" t="s">
        <v>307</v>
      </c>
      <c r="R25" s="11"/>
    </row>
    <row r="26" spans="1:19" s="13" customFormat="1">
      <c r="A26" s="13">
        <v>120</v>
      </c>
      <c r="B26" s="13">
        <v>124</v>
      </c>
      <c r="C26" s="13">
        <v>5238</v>
      </c>
      <c r="D26" s="13" t="s">
        <v>77</v>
      </c>
      <c r="E26" s="13" t="s">
        <v>143</v>
      </c>
      <c r="F26" s="36" t="s">
        <v>492</v>
      </c>
      <c r="G26" s="36" t="s">
        <v>79</v>
      </c>
      <c r="H26" s="449">
        <v>25000000</v>
      </c>
      <c r="I26" s="289">
        <f t="shared" si="5"/>
        <v>25000000</v>
      </c>
      <c r="J26" s="11">
        <v>44050</v>
      </c>
      <c r="K26" s="11">
        <f t="shared" si="3"/>
        <v>44085</v>
      </c>
      <c r="L26" s="289">
        <v>25000000</v>
      </c>
      <c r="M26" s="11">
        <f t="shared" si="4"/>
        <v>44230</v>
      </c>
      <c r="N26" s="289"/>
      <c r="O26" s="289"/>
      <c r="P26" s="11"/>
      <c r="Q26" s="13" t="s">
        <v>307</v>
      </c>
      <c r="R26" s="11"/>
    </row>
    <row r="27" spans="1:19" s="13" customFormat="1">
      <c r="A27" s="13">
        <v>123</v>
      </c>
      <c r="B27" s="13">
        <v>127</v>
      </c>
      <c r="C27" s="13">
        <v>5240</v>
      </c>
      <c r="D27" s="13" t="s">
        <v>77</v>
      </c>
      <c r="E27" s="13" t="s">
        <v>297</v>
      </c>
      <c r="F27" s="36" t="s">
        <v>459</v>
      </c>
      <c r="G27" s="36" t="s">
        <v>80</v>
      </c>
      <c r="H27" s="289">
        <v>50000000</v>
      </c>
      <c r="I27" s="289">
        <v>50000000</v>
      </c>
      <c r="J27" s="11">
        <v>44054</v>
      </c>
      <c r="K27" s="11">
        <f t="shared" si="3"/>
        <v>44089</v>
      </c>
      <c r="L27" s="289">
        <v>50000000</v>
      </c>
      <c r="M27" s="11">
        <f t="shared" si="4"/>
        <v>44234</v>
      </c>
      <c r="N27" s="353"/>
      <c r="O27" s="315"/>
      <c r="P27" s="11"/>
      <c r="Q27" s="13" t="s">
        <v>307</v>
      </c>
    </row>
    <row r="28" spans="1:19" s="13" customFormat="1">
      <c r="A28" s="13">
        <v>132</v>
      </c>
      <c r="B28" s="13">
        <v>135</v>
      </c>
      <c r="C28" s="13">
        <v>5241</v>
      </c>
      <c r="D28" s="13" t="s">
        <v>622</v>
      </c>
      <c r="E28" s="13" t="s">
        <v>141</v>
      </c>
      <c r="F28" s="36" t="s">
        <v>231</v>
      </c>
      <c r="G28" s="36" t="s">
        <v>142</v>
      </c>
      <c r="H28" s="449">
        <v>45000000</v>
      </c>
      <c r="I28" s="289">
        <v>45000000</v>
      </c>
      <c r="J28" s="11">
        <v>44055</v>
      </c>
      <c r="K28" s="11">
        <f t="shared" si="3"/>
        <v>44090</v>
      </c>
      <c r="L28" s="289">
        <v>45000000</v>
      </c>
      <c r="M28" s="11">
        <f t="shared" si="4"/>
        <v>44235</v>
      </c>
      <c r="N28" s="289">
        <v>0</v>
      </c>
      <c r="O28" s="289">
        <f>L28-N28</f>
        <v>45000000</v>
      </c>
      <c r="P28" s="11">
        <v>44155</v>
      </c>
      <c r="Q28" s="13" t="s">
        <v>307</v>
      </c>
      <c r="R28" s="11"/>
    </row>
    <row r="29" spans="1:19" s="481" customFormat="1">
      <c r="A29" s="581">
        <v>136</v>
      </c>
      <c r="B29" s="581">
        <v>136</v>
      </c>
      <c r="C29" s="581">
        <v>5191</v>
      </c>
      <c r="D29" s="581" t="s">
        <v>632</v>
      </c>
      <c r="E29" s="581" t="s">
        <v>289</v>
      </c>
      <c r="F29" s="582" t="s">
        <v>432</v>
      </c>
      <c r="G29" s="582" t="s">
        <v>78</v>
      </c>
      <c r="H29" s="583">
        <v>31000000</v>
      </c>
      <c r="I29" s="584">
        <v>31000000</v>
      </c>
      <c r="J29" s="585">
        <v>44001</v>
      </c>
      <c r="K29" s="585">
        <f>J29+35</f>
        <v>44036</v>
      </c>
      <c r="L29" s="584">
        <v>31000000</v>
      </c>
      <c r="M29" s="585">
        <f>J29+180</f>
        <v>44181</v>
      </c>
      <c r="N29" s="586">
        <v>11788042.93</v>
      </c>
      <c r="O29" s="586">
        <f>L29-N29</f>
        <v>19211957.07</v>
      </c>
      <c r="P29" s="585">
        <v>44183</v>
      </c>
      <c r="Q29" s="581" t="s">
        <v>307</v>
      </c>
      <c r="R29" s="504"/>
      <c r="S29" s="508" t="s">
        <v>786</v>
      </c>
    </row>
    <row r="30" spans="1:19" s="475" customFormat="1">
      <c r="A30" s="475" t="s">
        <v>147</v>
      </c>
      <c r="B30" s="475" t="s">
        <v>147</v>
      </c>
      <c r="C30" s="475" t="s">
        <v>664</v>
      </c>
      <c r="D30" s="475" t="s">
        <v>43</v>
      </c>
      <c r="E30" s="475" t="s">
        <v>97</v>
      </c>
      <c r="F30" s="476" t="s">
        <v>428</v>
      </c>
      <c r="G30" s="476" t="s">
        <v>95</v>
      </c>
      <c r="H30" s="486">
        <v>0</v>
      </c>
      <c r="I30" s="477"/>
      <c r="J30" s="478"/>
      <c r="K30" s="478"/>
      <c r="L30" s="477"/>
      <c r="M30" s="478"/>
      <c r="N30" s="477"/>
      <c r="O30" s="477"/>
      <c r="P30" s="478"/>
      <c r="Q30" s="475" t="s">
        <v>287</v>
      </c>
      <c r="R30" s="478"/>
    </row>
    <row r="31" spans="1:19" s="475" customFormat="1">
      <c r="A31" s="475" t="s">
        <v>147</v>
      </c>
      <c r="B31" s="475" t="s">
        <v>147</v>
      </c>
      <c r="C31" s="475" t="s">
        <v>683</v>
      </c>
      <c r="D31" s="475" t="s">
        <v>43</v>
      </c>
      <c r="E31" s="475" t="s">
        <v>289</v>
      </c>
      <c r="F31" s="476" t="s">
        <v>684</v>
      </c>
      <c r="G31" s="476" t="s">
        <v>78</v>
      </c>
      <c r="H31" s="486">
        <v>0</v>
      </c>
      <c r="I31" s="477"/>
      <c r="J31" s="478"/>
      <c r="K31" s="478"/>
      <c r="L31" s="477"/>
      <c r="M31" s="478"/>
      <c r="N31" s="477"/>
      <c r="O31" s="477"/>
      <c r="P31" s="478"/>
      <c r="Q31" s="475" t="s">
        <v>307</v>
      </c>
      <c r="R31" s="478"/>
    </row>
    <row r="32" spans="1:19" s="475" customFormat="1">
      <c r="A32" s="475" t="s">
        <v>147</v>
      </c>
      <c r="B32" s="475" t="s">
        <v>147</v>
      </c>
      <c r="C32" s="475" t="s">
        <v>700</v>
      </c>
      <c r="D32" s="475" t="s">
        <v>43</v>
      </c>
      <c r="E32" s="475" t="s">
        <v>295</v>
      </c>
      <c r="F32" s="476" t="s">
        <v>452</v>
      </c>
      <c r="G32" s="476" t="s">
        <v>444</v>
      </c>
      <c r="H32" s="486">
        <v>0</v>
      </c>
      <c r="I32" s="477"/>
      <c r="J32" s="478"/>
      <c r="K32" s="478"/>
      <c r="L32" s="479"/>
      <c r="M32" s="478"/>
      <c r="N32" s="479"/>
      <c r="O32" s="480"/>
      <c r="P32" s="478"/>
      <c r="Q32" s="475" t="s">
        <v>307</v>
      </c>
    </row>
    <row r="33" spans="1:19" s="475" customFormat="1">
      <c r="A33" s="475" t="s">
        <v>147</v>
      </c>
      <c r="B33" s="475" t="s">
        <v>147</v>
      </c>
      <c r="C33" s="475" t="s">
        <v>706</v>
      </c>
      <c r="D33" s="475" t="s">
        <v>43</v>
      </c>
      <c r="E33" s="475" t="s">
        <v>141</v>
      </c>
      <c r="F33" s="476" t="s">
        <v>707</v>
      </c>
      <c r="G33" s="476" t="s">
        <v>142</v>
      </c>
      <c r="H33" s="486">
        <v>0</v>
      </c>
      <c r="I33" s="477"/>
      <c r="J33" s="478"/>
      <c r="K33" s="478"/>
      <c r="L33" s="477"/>
      <c r="M33" s="478"/>
      <c r="N33" s="477"/>
      <c r="O33" s="477"/>
      <c r="P33" s="478"/>
      <c r="Q33" s="475" t="s">
        <v>307</v>
      </c>
      <c r="R33" s="478"/>
    </row>
    <row r="34" spans="1:19" s="475" customFormat="1">
      <c r="A34" s="475" t="s">
        <v>147</v>
      </c>
      <c r="B34" s="475" t="s">
        <v>147</v>
      </c>
      <c r="C34" s="475" t="s">
        <v>708</v>
      </c>
      <c r="D34" s="475" t="s">
        <v>43</v>
      </c>
      <c r="E34" s="475" t="s">
        <v>289</v>
      </c>
      <c r="F34" s="476" t="s">
        <v>424</v>
      </c>
      <c r="G34" s="476" t="s">
        <v>78</v>
      </c>
      <c r="H34" s="486">
        <v>0</v>
      </c>
      <c r="I34" s="477"/>
      <c r="J34" s="478"/>
      <c r="K34" s="478"/>
      <c r="L34" s="477"/>
      <c r="M34" s="478"/>
      <c r="N34" s="477"/>
      <c r="O34" s="477"/>
      <c r="P34" s="478"/>
      <c r="Q34" s="475" t="s">
        <v>307</v>
      </c>
      <c r="R34" s="478"/>
    </row>
    <row r="35" spans="1:19" s="475" customFormat="1">
      <c r="A35" s="475" t="s">
        <v>147</v>
      </c>
      <c r="B35" s="475" t="s">
        <v>147</v>
      </c>
      <c r="C35" s="475" t="s">
        <v>711</v>
      </c>
      <c r="D35" s="475" t="s">
        <v>43</v>
      </c>
      <c r="E35" s="475" t="s">
        <v>98</v>
      </c>
      <c r="F35" s="476" t="s">
        <v>182</v>
      </c>
      <c r="G35" s="476" t="s">
        <v>79</v>
      </c>
      <c r="H35" s="486">
        <v>0</v>
      </c>
      <c r="I35" s="477"/>
      <c r="J35" s="478"/>
      <c r="K35" s="478"/>
      <c r="L35" s="477"/>
      <c r="M35" s="478"/>
      <c r="N35" s="477"/>
      <c r="O35" s="477"/>
      <c r="P35" s="478"/>
      <c r="Q35" s="475" t="s">
        <v>287</v>
      </c>
      <c r="R35" s="478"/>
    </row>
    <row r="36" spans="1:19" s="475" customFormat="1">
      <c r="A36" s="475" t="s">
        <v>147</v>
      </c>
      <c r="B36" s="475" t="s">
        <v>147</v>
      </c>
      <c r="C36" s="475" t="s">
        <v>736</v>
      </c>
      <c r="D36" s="475" t="s">
        <v>43</v>
      </c>
      <c r="E36" s="475" t="s">
        <v>98</v>
      </c>
      <c r="F36" s="476" t="s">
        <v>737</v>
      </c>
      <c r="G36" s="476" t="s">
        <v>79</v>
      </c>
      <c r="H36" s="486">
        <v>0</v>
      </c>
      <c r="I36" s="477"/>
      <c r="J36" s="478"/>
      <c r="K36" s="478"/>
      <c r="L36" s="477"/>
      <c r="M36" s="478"/>
      <c r="N36" s="477"/>
      <c r="O36" s="477"/>
      <c r="P36" s="478"/>
      <c r="Q36" s="475" t="s">
        <v>307</v>
      </c>
      <c r="R36" s="478"/>
    </row>
    <row r="37" spans="1:19" s="475" customFormat="1">
      <c r="A37" s="475" t="s">
        <v>147</v>
      </c>
      <c r="B37" s="475" t="s">
        <v>147</v>
      </c>
      <c r="C37" s="475" t="s">
        <v>741</v>
      </c>
      <c r="D37" s="475" t="s">
        <v>43</v>
      </c>
      <c r="E37" s="475" t="s">
        <v>233</v>
      </c>
      <c r="F37" s="476" t="s">
        <v>742</v>
      </c>
      <c r="G37" s="476" t="s">
        <v>79</v>
      </c>
      <c r="H37" s="486">
        <v>0</v>
      </c>
      <c r="I37" s="477"/>
      <c r="J37" s="478"/>
      <c r="K37" s="478"/>
      <c r="L37" s="477"/>
      <c r="M37" s="478"/>
      <c r="N37" s="477"/>
      <c r="O37" s="477"/>
      <c r="P37" s="478"/>
      <c r="Q37" s="475" t="s">
        <v>307</v>
      </c>
      <c r="R37" s="478"/>
    </row>
    <row r="38" spans="1:19" s="475" customFormat="1">
      <c r="A38" s="475" t="s">
        <v>147</v>
      </c>
      <c r="B38" s="475" t="s">
        <v>147</v>
      </c>
      <c r="C38" s="475" t="s">
        <v>743</v>
      </c>
      <c r="D38" s="475" t="s">
        <v>43</v>
      </c>
      <c r="E38" s="475" t="s">
        <v>233</v>
      </c>
      <c r="F38" s="476" t="s">
        <v>744</v>
      </c>
      <c r="G38" s="476" t="s">
        <v>79</v>
      </c>
      <c r="H38" s="486">
        <v>0</v>
      </c>
      <c r="I38" s="477"/>
      <c r="J38" s="478"/>
      <c r="K38" s="478"/>
      <c r="L38" s="477"/>
      <c r="M38" s="478"/>
      <c r="N38" s="477"/>
      <c r="O38" s="477"/>
      <c r="P38" s="478"/>
      <c r="Q38" s="475" t="s">
        <v>307</v>
      </c>
      <c r="R38" s="478"/>
    </row>
    <row r="39" spans="1:19" s="13" customFormat="1">
      <c r="A39" s="13" t="s">
        <v>147</v>
      </c>
      <c r="B39" s="13" t="s">
        <v>147</v>
      </c>
      <c r="C39" s="13">
        <v>5175</v>
      </c>
      <c r="D39" s="13" t="s">
        <v>632</v>
      </c>
      <c r="E39" s="13" t="s">
        <v>175</v>
      </c>
      <c r="F39" s="36" t="s">
        <v>420</v>
      </c>
      <c r="G39" s="36" t="s">
        <v>176</v>
      </c>
      <c r="H39" s="449">
        <v>15000000</v>
      </c>
      <c r="I39" s="289">
        <f>H39</f>
        <v>15000000</v>
      </c>
      <c r="J39" s="11">
        <v>43942</v>
      </c>
      <c r="K39" s="11">
        <f>J39+35</f>
        <v>43977</v>
      </c>
      <c r="L39" s="289">
        <v>15000000</v>
      </c>
      <c r="M39" s="11">
        <f>J39+180</f>
        <v>44122</v>
      </c>
      <c r="N39" s="289">
        <v>0</v>
      </c>
      <c r="O39" s="289">
        <f>L39-N39</f>
        <v>15000000</v>
      </c>
      <c r="P39" s="11">
        <v>44002</v>
      </c>
      <c r="Q39" s="13" t="s">
        <v>219</v>
      </c>
      <c r="R39" s="474" t="s">
        <v>747</v>
      </c>
      <c r="S39" s="437" t="s">
        <v>748</v>
      </c>
    </row>
    <row r="40" spans="1:19" s="13" customFormat="1">
      <c r="A40" s="13" t="s">
        <v>147</v>
      </c>
      <c r="B40" s="13" t="s">
        <v>147</v>
      </c>
      <c r="C40" s="13">
        <v>5176</v>
      </c>
      <c r="D40" s="13" t="s">
        <v>632</v>
      </c>
      <c r="E40" s="13" t="s">
        <v>175</v>
      </c>
      <c r="F40" s="36" t="s">
        <v>422</v>
      </c>
      <c r="G40" s="36" t="s">
        <v>176</v>
      </c>
      <c r="H40" s="449">
        <v>15000000</v>
      </c>
      <c r="I40" s="289">
        <f>H40</f>
        <v>15000000</v>
      </c>
      <c r="J40" s="11">
        <v>43942</v>
      </c>
      <c r="K40" s="11">
        <f>J40+35</f>
        <v>43977</v>
      </c>
      <c r="L40" s="289">
        <v>15000000</v>
      </c>
      <c r="M40" s="11">
        <f>J40+180</f>
        <v>44122</v>
      </c>
      <c r="N40" s="289">
        <v>0</v>
      </c>
      <c r="O40" s="289">
        <f>L40-N40</f>
        <v>15000000</v>
      </c>
      <c r="P40" s="11">
        <v>44002</v>
      </c>
      <c r="Q40" s="13" t="s">
        <v>219</v>
      </c>
      <c r="R40" s="474" t="s">
        <v>747</v>
      </c>
      <c r="S40" s="437" t="s">
        <v>749</v>
      </c>
    </row>
    <row r="41" spans="1:19" s="13" customFormat="1">
      <c r="A41" s="13" t="s">
        <v>147</v>
      </c>
      <c r="B41" s="13" t="s">
        <v>147</v>
      </c>
      <c r="C41" s="13">
        <v>5177</v>
      </c>
      <c r="D41" s="13" t="s">
        <v>632</v>
      </c>
      <c r="E41" s="13" t="s">
        <v>230</v>
      </c>
      <c r="F41" s="36" t="s">
        <v>751</v>
      </c>
      <c r="G41" s="36" t="s">
        <v>80</v>
      </c>
      <c r="H41" s="449">
        <v>35000000</v>
      </c>
      <c r="I41" s="289">
        <f>H41</f>
        <v>35000000</v>
      </c>
      <c r="J41" s="11">
        <v>43946</v>
      </c>
      <c r="K41" s="11">
        <f>J41+35</f>
        <v>43981</v>
      </c>
      <c r="L41" s="289">
        <v>35000000</v>
      </c>
      <c r="M41" s="11">
        <f>J41+180</f>
        <v>44126</v>
      </c>
      <c r="N41" s="289">
        <f>L41-O41</f>
        <v>4870000</v>
      </c>
      <c r="O41" s="289">
        <v>30130000</v>
      </c>
      <c r="P41" s="11">
        <v>44113</v>
      </c>
      <c r="Q41" s="13" t="s">
        <v>307</v>
      </c>
      <c r="R41" s="93"/>
      <c r="S41" s="437" t="s">
        <v>793</v>
      </c>
    </row>
    <row r="42" spans="1:19" s="475" customFormat="1">
      <c r="A42" s="475" t="s">
        <v>147</v>
      </c>
      <c r="B42" s="475" t="s">
        <v>147</v>
      </c>
      <c r="C42" s="475" t="s">
        <v>767</v>
      </c>
      <c r="D42" s="475" t="s">
        <v>43</v>
      </c>
      <c r="E42" s="475" t="s">
        <v>308</v>
      </c>
      <c r="F42" s="476" t="s">
        <v>768</v>
      </c>
      <c r="G42" s="476" t="s">
        <v>343</v>
      </c>
      <c r="H42" s="486">
        <v>0</v>
      </c>
      <c r="I42" s="477"/>
      <c r="J42" s="478"/>
      <c r="K42" s="478"/>
      <c r="L42" s="477"/>
      <c r="M42" s="478"/>
      <c r="N42" s="477"/>
      <c r="O42" s="477"/>
      <c r="P42" s="478"/>
      <c r="Q42" s="475" t="s">
        <v>307</v>
      </c>
      <c r="R42" s="520"/>
      <c r="S42" s="521"/>
    </row>
    <row r="43" spans="1:19" s="475" customFormat="1">
      <c r="A43" s="475" t="s">
        <v>147</v>
      </c>
      <c r="B43" s="475" t="s">
        <v>147</v>
      </c>
      <c r="C43" s="475" t="s">
        <v>783</v>
      </c>
      <c r="D43" s="475" t="s">
        <v>43</v>
      </c>
      <c r="E43" s="475" t="s">
        <v>141</v>
      </c>
      <c r="F43" s="476" t="s">
        <v>784</v>
      </c>
      <c r="G43" s="476" t="s">
        <v>313</v>
      </c>
      <c r="H43" s="486">
        <v>0</v>
      </c>
      <c r="I43" s="477"/>
      <c r="J43" s="478"/>
      <c r="K43" s="478"/>
      <c r="L43" s="477"/>
      <c r="M43" s="478"/>
      <c r="N43" s="477"/>
      <c r="O43" s="477"/>
      <c r="P43" s="478"/>
      <c r="Q43" s="475" t="s">
        <v>307</v>
      </c>
      <c r="R43" s="520"/>
      <c r="S43" s="521"/>
    </row>
    <row r="44" spans="1:19" s="13" customFormat="1">
      <c r="A44" s="13" t="s">
        <v>147</v>
      </c>
      <c r="B44" s="13" t="s">
        <v>147</v>
      </c>
      <c r="C44" s="13">
        <v>5193</v>
      </c>
      <c r="D44" s="13" t="s">
        <v>632</v>
      </c>
      <c r="E44" s="13" t="s">
        <v>230</v>
      </c>
      <c r="F44" s="36" t="s">
        <v>792</v>
      </c>
      <c r="G44" s="36" t="s">
        <v>80</v>
      </c>
      <c r="H44" s="449">
        <v>25500000</v>
      </c>
      <c r="I44" s="289">
        <v>25500000</v>
      </c>
      <c r="J44" s="11">
        <v>44007</v>
      </c>
      <c r="K44" s="11">
        <f>J44+35</f>
        <v>44042</v>
      </c>
      <c r="L44" s="289">
        <v>25500000</v>
      </c>
      <c r="M44" s="11">
        <f>J44+180</f>
        <v>44187</v>
      </c>
      <c r="N44" s="289">
        <v>25500000</v>
      </c>
      <c r="O44" s="289">
        <f>L44-N44</f>
        <v>0</v>
      </c>
      <c r="P44" s="11">
        <v>44119</v>
      </c>
      <c r="Q44" s="13" t="s">
        <v>307</v>
      </c>
      <c r="R44" s="93"/>
      <c r="S44" s="437"/>
    </row>
    <row r="45" spans="1:19" s="13" customFormat="1">
      <c r="A45" s="13" t="s">
        <v>147</v>
      </c>
      <c r="B45" s="13" t="s">
        <v>147</v>
      </c>
      <c r="C45" s="13">
        <v>5201</v>
      </c>
      <c r="D45" s="13" t="s">
        <v>632</v>
      </c>
      <c r="E45" s="13" t="s">
        <v>225</v>
      </c>
      <c r="F45" s="36" t="s">
        <v>797</v>
      </c>
      <c r="G45" s="36" t="s">
        <v>226</v>
      </c>
      <c r="H45" s="449">
        <v>35000000</v>
      </c>
      <c r="I45" s="289">
        <v>35000000</v>
      </c>
      <c r="J45" s="11">
        <v>44023</v>
      </c>
      <c r="K45" s="11">
        <f>J45+35</f>
        <v>44058</v>
      </c>
      <c r="L45" s="289">
        <v>35000000</v>
      </c>
      <c r="M45" s="11">
        <f>J45+180</f>
        <v>44203</v>
      </c>
      <c r="N45" s="289">
        <v>22800000</v>
      </c>
      <c r="O45" s="289">
        <f>L45-N45</f>
        <v>12200000</v>
      </c>
      <c r="P45" s="11">
        <v>44146</v>
      </c>
      <c r="Q45" s="13" t="s">
        <v>287</v>
      </c>
      <c r="R45" s="474" t="s">
        <v>805</v>
      </c>
      <c r="S45" s="437" t="s">
        <v>806</v>
      </c>
    </row>
    <row r="46" spans="1:19" s="475" customFormat="1">
      <c r="A46" s="475" t="s">
        <v>147</v>
      </c>
      <c r="B46" s="475" t="s">
        <v>147</v>
      </c>
      <c r="C46" s="475" t="s">
        <v>809</v>
      </c>
      <c r="D46" s="475" t="s">
        <v>43</v>
      </c>
      <c r="E46" s="475" t="s">
        <v>98</v>
      </c>
      <c r="F46" s="476" t="s">
        <v>810</v>
      </c>
      <c r="G46" s="476" t="s">
        <v>79</v>
      </c>
      <c r="H46" s="486">
        <v>0</v>
      </c>
      <c r="I46" s="477"/>
      <c r="J46" s="478"/>
      <c r="K46" s="478"/>
      <c r="L46" s="477"/>
      <c r="M46" s="478"/>
      <c r="N46" s="477"/>
      <c r="O46" s="477"/>
      <c r="P46" s="478"/>
      <c r="Q46" s="475" t="s">
        <v>307</v>
      </c>
      <c r="R46" s="520"/>
      <c r="S46" s="521"/>
    </row>
    <row r="47" spans="1:19" s="475" customFormat="1">
      <c r="A47" s="475" t="s">
        <v>147</v>
      </c>
      <c r="B47" s="475" t="s">
        <v>147</v>
      </c>
      <c r="C47" s="475" t="s">
        <v>811</v>
      </c>
      <c r="D47" s="475" t="s">
        <v>43</v>
      </c>
      <c r="E47" s="475" t="s">
        <v>98</v>
      </c>
      <c r="F47" s="476" t="s">
        <v>812</v>
      </c>
      <c r="G47" s="476" t="s">
        <v>79</v>
      </c>
      <c r="H47" s="486">
        <v>0</v>
      </c>
      <c r="I47" s="477"/>
      <c r="J47" s="478"/>
      <c r="K47" s="478"/>
      <c r="L47" s="477"/>
      <c r="M47" s="478"/>
      <c r="N47" s="477"/>
      <c r="O47" s="477"/>
      <c r="P47" s="478"/>
      <c r="Q47" s="475" t="s">
        <v>307</v>
      </c>
      <c r="R47" s="520"/>
      <c r="S47" s="521"/>
    </row>
    <row r="48" spans="1:19" s="475" customFormat="1">
      <c r="A48" s="475" t="s">
        <v>147</v>
      </c>
      <c r="B48" s="475" t="s">
        <v>147</v>
      </c>
      <c r="C48" s="475" t="s">
        <v>858</v>
      </c>
      <c r="D48" s="475" t="s">
        <v>43</v>
      </c>
      <c r="E48" s="475" t="s">
        <v>697</v>
      </c>
      <c r="F48" s="476" t="s">
        <v>698</v>
      </c>
      <c r="G48" s="476" t="s">
        <v>149</v>
      </c>
      <c r="H48" s="486">
        <v>0</v>
      </c>
      <c r="I48" s="477"/>
      <c r="J48" s="478"/>
      <c r="K48" s="478"/>
      <c r="L48" s="477"/>
      <c r="M48" s="478"/>
      <c r="N48" s="477"/>
      <c r="O48" s="477"/>
      <c r="P48" s="478"/>
      <c r="Q48" s="475" t="s">
        <v>307</v>
      </c>
      <c r="R48" s="520"/>
      <c r="S48" s="521"/>
    </row>
    <row r="49" spans="1:19" s="475" customFormat="1">
      <c r="A49" s="475" t="s">
        <v>147</v>
      </c>
      <c r="B49" s="475" t="s">
        <v>147</v>
      </c>
      <c r="C49" s="475" t="s">
        <v>860</v>
      </c>
      <c r="D49" s="475" t="s">
        <v>43</v>
      </c>
      <c r="E49" s="475" t="s">
        <v>295</v>
      </c>
      <c r="F49" s="476" t="s">
        <v>861</v>
      </c>
      <c r="G49" s="476" t="s">
        <v>862</v>
      </c>
      <c r="H49" s="486">
        <v>0</v>
      </c>
      <c r="I49" s="477"/>
      <c r="J49" s="478"/>
      <c r="K49" s="478"/>
      <c r="L49" s="477"/>
      <c r="M49" s="478"/>
      <c r="N49" s="477"/>
      <c r="O49" s="477"/>
      <c r="P49" s="478"/>
      <c r="Q49" s="475" t="s">
        <v>307</v>
      </c>
      <c r="R49" s="520"/>
      <c r="S49" s="521"/>
    </row>
    <row r="50" spans="1:19" s="475" customFormat="1">
      <c r="A50" s="475" t="s">
        <v>147</v>
      </c>
      <c r="B50" s="475" t="s">
        <v>147</v>
      </c>
      <c r="C50" s="475" t="s">
        <v>863</v>
      </c>
      <c r="D50" s="475" t="s">
        <v>43</v>
      </c>
      <c r="E50" s="475" t="s">
        <v>141</v>
      </c>
      <c r="F50" s="476" t="s">
        <v>480</v>
      </c>
      <c r="G50" s="476" t="s">
        <v>485</v>
      </c>
      <c r="H50" s="486">
        <v>0</v>
      </c>
      <c r="I50" s="477"/>
      <c r="J50" s="478"/>
      <c r="K50" s="478"/>
      <c r="L50" s="477"/>
      <c r="M50" s="478"/>
      <c r="N50" s="477"/>
      <c r="O50" s="477"/>
      <c r="P50" s="478"/>
      <c r="Q50" s="475" t="s">
        <v>287</v>
      </c>
      <c r="R50" s="520"/>
      <c r="S50" s="521"/>
    </row>
    <row r="51" spans="1:19" s="475" customFormat="1">
      <c r="A51" s="475" t="s">
        <v>147</v>
      </c>
      <c r="B51" s="475" t="s">
        <v>147</v>
      </c>
      <c r="C51" s="475" t="s">
        <v>859</v>
      </c>
      <c r="D51" s="475" t="s">
        <v>43</v>
      </c>
      <c r="E51" s="475" t="s">
        <v>233</v>
      </c>
      <c r="F51" s="476" t="s">
        <v>870</v>
      </c>
      <c r="G51" s="476" t="s">
        <v>79</v>
      </c>
      <c r="H51" s="486">
        <v>0</v>
      </c>
      <c r="I51" s="477"/>
      <c r="J51" s="478"/>
      <c r="K51" s="478"/>
      <c r="L51" s="477"/>
      <c r="M51" s="478"/>
      <c r="N51" s="477"/>
      <c r="O51" s="477"/>
      <c r="P51" s="478"/>
      <c r="Q51" s="475" t="s">
        <v>307</v>
      </c>
      <c r="R51" s="520"/>
      <c r="S51" s="521"/>
    </row>
    <row r="52" spans="1:19" s="475" customFormat="1">
      <c r="A52" s="475" t="s">
        <v>147</v>
      </c>
      <c r="B52" s="475" t="s">
        <v>147</v>
      </c>
      <c r="C52" s="475" t="s">
        <v>867</v>
      </c>
      <c r="D52" s="475" t="s">
        <v>43</v>
      </c>
      <c r="E52" s="475" t="s">
        <v>233</v>
      </c>
      <c r="F52" s="476" t="s">
        <v>869</v>
      </c>
      <c r="G52" s="476" t="s">
        <v>337</v>
      </c>
      <c r="H52" s="486">
        <v>0</v>
      </c>
      <c r="I52" s="477"/>
      <c r="J52" s="478"/>
      <c r="K52" s="478"/>
      <c r="L52" s="477"/>
      <c r="M52" s="478"/>
      <c r="N52" s="477"/>
      <c r="O52" s="477"/>
      <c r="P52" s="478"/>
      <c r="Q52" s="475" t="s">
        <v>307</v>
      </c>
      <c r="R52" s="520"/>
      <c r="S52" s="521"/>
    </row>
    <row r="53" spans="1:19">
      <c r="A53" s="13"/>
      <c r="B53" s="13"/>
      <c r="E53" s="202"/>
      <c r="F53" s="13"/>
      <c r="G53" s="501"/>
      <c r="H53" s="502"/>
      <c r="I53" s="503"/>
      <c r="J53" s="3"/>
      <c r="K53" s="3"/>
      <c r="L53" s="83"/>
      <c r="M53" s="3"/>
    </row>
    <row r="54" spans="1:19">
      <c r="C54" s="13"/>
      <c r="D54" s="13"/>
      <c r="E54" s="13"/>
      <c r="F54" s="13" t="s">
        <v>19</v>
      </c>
      <c r="G54" s="13"/>
      <c r="H54" s="263">
        <f>SUM(H7:H53)</f>
        <v>741658545</v>
      </c>
      <c r="I54" s="263">
        <f>SUM(I7:I53)</f>
        <v>741658545</v>
      </c>
      <c r="J54" s="10"/>
      <c r="K54" s="10"/>
      <c r="L54" s="263">
        <f>SUM(L7:L53)</f>
        <v>701658545</v>
      </c>
      <c r="M54" s="10"/>
      <c r="N54" s="263">
        <f>SUM(N7:N53)</f>
        <v>91698042.930000007</v>
      </c>
      <c r="O54" s="263">
        <f>SUM(O7:O53)</f>
        <v>412040987.06999999</v>
      </c>
      <c r="P54" s="13"/>
    </row>
    <row r="55" spans="1:19">
      <c r="C55" s="43"/>
      <c r="D55" s="43"/>
      <c r="E55" s="148"/>
      <c r="F55" s="13"/>
      <c r="H55" s="76"/>
      <c r="J55" s="11"/>
      <c r="K55" s="11"/>
      <c r="L55" s="9"/>
      <c r="M55" s="6"/>
      <c r="O55" s="1"/>
    </row>
    <row r="56" spans="1:19">
      <c r="F56" s="13" t="s">
        <v>43</v>
      </c>
      <c r="G56" s="5"/>
      <c r="H56" s="34">
        <f>H54-I54</f>
        <v>0</v>
      </c>
      <c r="I56" s="9"/>
      <c r="J56" s="3"/>
      <c r="K56" s="3"/>
      <c r="L56" s="9"/>
      <c r="O56" s="1"/>
    </row>
    <row r="57" spans="1:19">
      <c r="G57" s="5"/>
      <c r="H57" s="67"/>
      <c r="I57" s="9"/>
      <c r="J57" s="3"/>
      <c r="L57" s="9"/>
      <c r="N57" s="76"/>
      <c r="O57" s="1"/>
    </row>
    <row r="58" spans="1:19">
      <c r="A58" s="43"/>
      <c r="B58" s="43"/>
      <c r="F58" s="58" t="s">
        <v>10</v>
      </c>
      <c r="G58" s="5"/>
      <c r="H58" s="77">
        <f>E1-I54+O54+G63</f>
        <v>151651091.99999994</v>
      </c>
      <c r="I58" s="293"/>
      <c r="J58" s="3"/>
      <c r="L58" s="9"/>
      <c r="M58" s="138"/>
      <c r="O58" s="1"/>
      <c r="Q58" s="13"/>
    </row>
    <row r="59" spans="1:19">
      <c r="F59" s="58"/>
      <c r="G59" s="5"/>
      <c r="H59" s="124"/>
      <c r="I59" s="195"/>
      <c r="J59" s="3"/>
      <c r="L59" s="9"/>
      <c r="M59" s="138"/>
      <c r="O59" s="1"/>
    </row>
    <row r="60" spans="1:19">
      <c r="F60" s="58"/>
      <c r="G60" s="5"/>
      <c r="H60" s="124"/>
      <c r="I60" s="293"/>
      <c r="J60" s="138"/>
      <c r="K60" s="3"/>
      <c r="L60" s="9"/>
      <c r="M60" s="138"/>
      <c r="O60" s="1"/>
    </row>
    <row r="61" spans="1:19">
      <c r="C61" s="43"/>
      <c r="D61" s="43"/>
      <c r="E61" s="148"/>
      <c r="F61" s="13"/>
      <c r="G61" s="13"/>
      <c r="H61" s="12"/>
      <c r="I61" s="41"/>
      <c r="J61" s="13"/>
      <c r="K61" s="11"/>
      <c r="L61" s="422"/>
      <c r="M61" s="11"/>
      <c r="N61" s="57"/>
      <c r="O61" s="12"/>
      <c r="P61" s="13"/>
    </row>
    <row r="62" spans="1:19">
      <c r="C62" s="13"/>
      <c r="D62" s="13"/>
      <c r="E62" s="13"/>
      <c r="F62" s="13"/>
      <c r="G62" s="364"/>
      <c r="H62" s="487"/>
      <c r="I62" s="41"/>
      <c r="J62" s="13"/>
      <c r="K62" s="13"/>
      <c r="L62" s="198"/>
      <c r="M62" s="11"/>
      <c r="N62" s="57"/>
      <c r="O62" s="12"/>
      <c r="P62" s="13"/>
    </row>
    <row r="63" spans="1:19">
      <c r="F63" s="13"/>
      <c r="G63" s="296">
        <f>SUM(G62:G62)</f>
        <v>0</v>
      </c>
      <c r="H63" s="12"/>
      <c r="I63" s="41"/>
      <c r="J63" s="13"/>
      <c r="K63" s="13"/>
      <c r="L63" s="416"/>
      <c r="M63" s="11"/>
      <c r="N63" s="57"/>
      <c r="O63" s="12"/>
      <c r="P63" s="13"/>
    </row>
    <row r="64" spans="1:19">
      <c r="L64" s="431"/>
    </row>
    <row r="65" spans="7:7">
      <c r="G65" s="83"/>
    </row>
    <row r="67" spans="7:7">
      <c r="G67" s="2"/>
    </row>
    <row r="68" spans="7:7">
      <c r="G68" s="140"/>
    </row>
    <row r="69" spans="7:7">
      <c r="G69" s="140"/>
    </row>
  </sheetData>
  <autoFilter ref="A6:S6" xr:uid="{00000000-0001-0000-0600-000000000000}">
    <sortState xmlns:xlrd2="http://schemas.microsoft.com/office/spreadsheetml/2017/richdata2" ref="A7:S42">
      <sortCondition ref="B6"/>
    </sortState>
  </autoFilter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13</vt:i4>
      </vt:variant>
    </vt:vector>
  </HeadingPairs>
  <TitlesOfParts>
    <vt:vector size="40" baseType="lpstr">
      <vt:lpstr>Totals</vt:lpstr>
      <vt:lpstr>2024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2021 CF</vt:lpstr>
      <vt:lpstr>2022 CF</vt:lpstr>
      <vt:lpstr>2023 CF</vt:lpstr>
      <vt:lpstr>Bond Buyer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2024-12-19T21:09:54Z</dcterms:modified>
</cp:coreProperties>
</file>