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38881894387/WOPIServiceId_TP_BOX_2/WOPIUserId_-/"/>
    </mc:Choice>
  </mc:AlternateContent>
  <xr:revisionPtr revIDLastSave="643" documentId="13_ncr:1_{8C7A796B-1059-4489-A811-88376F7C7A67}" xr6:coauthVersionLast="47" xr6:coauthVersionMax="47" xr10:uidLastSave="{D04CFC14-6D5B-4405-8D21-3357DE6AE459}"/>
  <bookViews>
    <workbookView xWindow="11568" yWindow="-17280" windowWidth="30912" windowHeight="16656" tabRatio="941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MRB'!$A$1:$R$29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TDHCA'!$A$1:$P$18</definedName>
    <definedName name="_xlnm.Print_Area" localSheetId="22">'SC5 OTHER'!$A$1:$P$93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24" l="1"/>
  <c r="K62" i="24"/>
  <c r="I62" i="24"/>
  <c r="M60" i="24"/>
  <c r="K60" i="24"/>
  <c r="I60" i="24"/>
  <c r="M57" i="24"/>
  <c r="K57" i="24"/>
  <c r="I57" i="24"/>
  <c r="M17" i="24"/>
  <c r="O17" i="24"/>
  <c r="M52" i="24"/>
  <c r="L75" i="104"/>
  <c r="K55" i="24"/>
  <c r="M55" i="24"/>
  <c r="I55" i="24"/>
  <c r="M71" i="24"/>
  <c r="K71" i="24"/>
  <c r="I71" i="24"/>
  <c r="G104" i="24"/>
  <c r="L24" i="105"/>
  <c r="G21" i="14"/>
  <c r="O10" i="14"/>
  <c r="M10" i="14"/>
  <c r="J10" i="14"/>
  <c r="K10" i="14" s="1"/>
  <c r="Q9" i="14"/>
  <c r="O7" i="24"/>
  <c r="M44" i="86"/>
  <c r="K44" i="86"/>
  <c r="I44" i="86"/>
  <c r="G59" i="86"/>
  <c r="M51" i="24"/>
  <c r="M42" i="86"/>
  <c r="K42" i="86"/>
  <c r="I42" i="86"/>
  <c r="M54" i="24"/>
  <c r="K54" i="24"/>
  <c r="K52" i="24"/>
  <c r="K51" i="24"/>
  <c r="I54" i="24"/>
  <c r="I52" i="24"/>
  <c r="O52" i="24" s="1"/>
  <c r="I51" i="24"/>
  <c r="O37" i="24"/>
  <c r="O23" i="24"/>
  <c r="M23" i="24"/>
  <c r="L72" i="104"/>
  <c r="M23" i="86"/>
  <c r="M50" i="24"/>
  <c r="K50" i="24"/>
  <c r="M25" i="86"/>
  <c r="K25" i="86"/>
  <c r="I25" i="86"/>
  <c r="K23" i="86"/>
  <c r="I23" i="86"/>
  <c r="I50" i="24"/>
  <c r="M7" i="18"/>
  <c r="O7" i="18"/>
  <c r="M13" i="19"/>
  <c r="O13" i="19"/>
  <c r="O13" i="24" l="1"/>
  <c r="M11" i="19"/>
  <c r="O11" i="19"/>
  <c r="M20" i="86" l="1"/>
  <c r="L81" i="104"/>
  <c r="K20" i="86"/>
  <c r="I20" i="86"/>
  <c r="H87" i="24" l="1"/>
  <c r="M48" i="24" l="1"/>
  <c r="K48" i="24"/>
  <c r="I48" i="24"/>
  <c r="M49" i="24"/>
  <c r="K49" i="24"/>
  <c r="I49" i="24"/>
  <c r="M47" i="24"/>
  <c r="K47" i="24"/>
  <c r="I47" i="24"/>
  <c r="O47" i="24" s="1"/>
  <c r="M13" i="86"/>
  <c r="K13" i="86"/>
  <c r="K11" i="86"/>
  <c r="M11" i="86"/>
  <c r="I11" i="86"/>
  <c r="M7" i="86"/>
  <c r="L78" i="104"/>
  <c r="L76" i="104"/>
  <c r="M10" i="86"/>
  <c r="K8" i="86"/>
  <c r="M8" i="86"/>
  <c r="K9" i="86"/>
  <c r="M9" i="86"/>
  <c r="K10" i="86"/>
  <c r="K7" i="86"/>
  <c r="I8" i="86"/>
  <c r="I9" i="86"/>
  <c r="L9" i="86" s="1"/>
  <c r="I10" i="86"/>
  <c r="I7" i="86"/>
  <c r="O7" i="86" s="1"/>
  <c r="O7" i="21"/>
  <c r="O9" i="14" l="1"/>
  <c r="M9" i="14"/>
  <c r="J9" i="14"/>
  <c r="H46" i="86"/>
  <c r="M7" i="7"/>
  <c r="M7" i="77"/>
  <c r="K7" i="77"/>
  <c r="I7" i="77"/>
  <c r="G34" i="19"/>
  <c r="K13" i="19"/>
  <c r="I13" i="19"/>
  <c r="M8" i="7"/>
  <c r="K8" i="7"/>
  <c r="I8" i="7"/>
  <c r="O8" i="7" s="1"/>
  <c r="K7" i="7"/>
  <c r="I7" i="7"/>
  <c r="G23" i="7"/>
  <c r="K89" i="104"/>
  <c r="K87" i="104" l="1"/>
  <c r="F29" i="5"/>
  <c r="E29" i="5"/>
  <c r="D29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I26" i="5"/>
  <c r="G26" i="5"/>
  <c r="I25" i="5"/>
  <c r="H25" i="5"/>
  <c r="O12" i="18"/>
  <c r="M14" i="18"/>
  <c r="T35" i="105"/>
  <c r="J88" i="104"/>
  <c r="K88" i="104"/>
  <c r="M46" i="24"/>
  <c r="M44" i="24"/>
  <c r="K46" i="24"/>
  <c r="K44" i="24"/>
  <c r="I46" i="24"/>
  <c r="O46" i="24" s="1"/>
  <c r="I44" i="24"/>
  <c r="K15" i="18"/>
  <c r="M15" i="18"/>
  <c r="I15" i="18" l="1"/>
  <c r="K14" i="18"/>
  <c r="I14" i="18"/>
  <c r="G34" i="18"/>
  <c r="M79" i="24"/>
  <c r="K79" i="24"/>
  <c r="K75" i="104"/>
  <c r="K76" i="104"/>
  <c r="K78" i="104"/>
  <c r="I8" i="30"/>
  <c r="I10" i="30"/>
  <c r="M8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M42" i="24"/>
  <c r="K11" i="19"/>
  <c r="I11" i="19"/>
  <c r="M22" i="19"/>
  <c r="K22" i="19"/>
  <c r="I22" i="19"/>
  <c r="M77" i="24"/>
  <c r="K77" i="24"/>
  <c r="I77" i="24"/>
  <c r="K42" i="24"/>
  <c r="I42" i="24"/>
  <c r="O42" i="24" s="1"/>
  <c r="B4" i="93"/>
  <c r="K72" i="104"/>
  <c r="M76" i="104"/>
  <c r="G25" i="104"/>
  <c r="M41" i="24"/>
  <c r="K41" i="24"/>
  <c r="I41" i="24"/>
  <c r="O41" i="24" s="1"/>
  <c r="M39" i="24"/>
  <c r="K39" i="24"/>
  <c r="I39" i="24"/>
  <c r="M38" i="24"/>
  <c r="K38" i="24"/>
  <c r="I38" i="24"/>
  <c r="O38" i="24" s="1"/>
  <c r="M37" i="24"/>
  <c r="K37" i="24"/>
  <c r="I37" i="24"/>
  <c r="K12" i="18"/>
  <c r="M12" i="18"/>
  <c r="K11" i="18"/>
  <c r="M11" i="18"/>
  <c r="M13" i="12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M31" i="24"/>
  <c r="I31" i="24"/>
  <c r="M30" i="24"/>
  <c r="K30" i="24"/>
  <c r="I30" i="24"/>
  <c r="O30" i="24" s="1"/>
  <c r="K28" i="24"/>
  <c r="M28" i="24"/>
  <c r="I28" i="24"/>
  <c r="K27" i="24"/>
  <c r="M27" i="24"/>
  <c r="I27" i="24"/>
  <c r="K26" i="24"/>
  <c r="M26" i="24"/>
  <c r="M10" i="18"/>
  <c r="K10" i="18"/>
  <c r="I10" i="18"/>
  <c r="K11" i="12"/>
  <c r="M10" i="12"/>
  <c r="K23" i="24"/>
  <c r="K24" i="24"/>
  <c r="M24" i="24"/>
  <c r="K25" i="24"/>
  <c r="M25" i="24"/>
  <c r="M22" i="24"/>
  <c r="K22" i="24"/>
  <c r="I23" i="24"/>
  <c r="I24" i="24"/>
  <c r="I25" i="24"/>
  <c r="I22" i="24"/>
  <c r="M9" i="19"/>
  <c r="K9" i="19"/>
  <c r="I9" i="19"/>
  <c r="M9" i="18"/>
  <c r="K9" i="18"/>
  <c r="I9" i="18"/>
  <c r="K10" i="12"/>
  <c r="I10" i="12"/>
  <c r="M8" i="18" l="1"/>
  <c r="M76" i="24"/>
  <c r="K76" i="24"/>
  <c r="I76" i="24"/>
  <c r="K20" i="24"/>
  <c r="M20" i="24"/>
  <c r="I20" i="24"/>
  <c r="M19" i="24"/>
  <c r="K19" i="24"/>
  <c r="I19" i="24"/>
  <c r="K17" i="24"/>
  <c r="I17" i="24"/>
  <c r="K16" i="24"/>
  <c r="M16" i="24"/>
  <c r="I16" i="24"/>
  <c r="M15" i="24"/>
  <c r="K15" i="24"/>
  <c r="I15" i="24"/>
  <c r="M8" i="19"/>
  <c r="K8" i="19"/>
  <c r="I8" i="19"/>
  <c r="K8" i="18"/>
  <c r="I8" i="18"/>
  <c r="M7" i="12"/>
  <c r="M75" i="24"/>
  <c r="K75" i="24"/>
  <c r="I75" i="24"/>
  <c r="M14" i="24"/>
  <c r="I14" i="24"/>
  <c r="K14" i="24"/>
  <c r="I11" i="24"/>
  <c r="K11" i="24"/>
  <c r="M11" i="24"/>
  <c r="I12" i="24"/>
  <c r="K12" i="24"/>
  <c r="M12" i="24"/>
  <c r="I13" i="24"/>
  <c r="K13" i="24"/>
  <c r="M13" i="24"/>
  <c r="M10" i="24"/>
  <c r="K10" i="24"/>
  <c r="I10" i="24"/>
  <c r="M7" i="19"/>
  <c r="K7" i="19"/>
  <c r="I7" i="19"/>
  <c r="M7" i="44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K7" i="18" l="1"/>
  <c r="I7" i="18"/>
  <c r="K102" i="104" l="1"/>
  <c r="M7" i="24"/>
  <c r="M9" i="24"/>
  <c r="K9" i="24"/>
  <c r="K7" i="24"/>
  <c r="M7" i="30"/>
  <c r="M7" i="4"/>
  <c r="K7" i="4"/>
  <c r="K7" i="30"/>
  <c r="B35" i="5" l="1"/>
  <c r="B34" i="5"/>
  <c r="B25" i="5"/>
  <c r="C25" i="5"/>
  <c r="B5" i="93"/>
  <c r="B3" i="93"/>
  <c r="T67" i="104"/>
  <c r="L67" i="104"/>
  <c r="J67" i="104"/>
  <c r="J99" i="104"/>
  <c r="L99" i="104"/>
  <c r="L104" i="104"/>
  <c r="J104" i="104"/>
  <c r="M102" i="104"/>
  <c r="M104" i="104" s="1"/>
  <c r="I102" i="104"/>
  <c r="G102" i="104"/>
  <c r="M97" i="104"/>
  <c r="K97" i="104"/>
  <c r="I97" i="104"/>
  <c r="G97" i="104"/>
  <c r="M96" i="104"/>
  <c r="K96" i="104"/>
  <c r="I96" i="104"/>
  <c r="T95" i="104"/>
  <c r="M95" i="104"/>
  <c r="K95" i="104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T84" i="104"/>
  <c r="M84" i="104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T78" i="104"/>
  <c r="M78" i="104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I64" i="104"/>
  <c r="G64" i="104"/>
  <c r="M63" i="104"/>
  <c r="T63" i="104" s="1"/>
  <c r="I63" i="104"/>
  <c r="G63" i="104"/>
  <c r="T62" i="104"/>
  <c r="M62" i="104"/>
  <c r="I62" i="104"/>
  <c r="G62" i="104"/>
  <c r="M61" i="104"/>
  <c r="T61" i="104" s="1"/>
  <c r="I61" i="104"/>
  <c r="G61" i="104"/>
  <c r="M60" i="104"/>
  <c r="T60" i="104" s="1"/>
  <c r="I60" i="104"/>
  <c r="G60" i="104"/>
  <c r="M59" i="104"/>
  <c r="T59" i="104" s="1"/>
  <c r="I59" i="104"/>
  <c r="G59" i="104"/>
  <c r="J58" i="104"/>
  <c r="M58" i="104" s="1"/>
  <c r="T58" i="104" s="1"/>
  <c r="I58" i="104"/>
  <c r="G58" i="104"/>
  <c r="M57" i="104"/>
  <c r="T57" i="104" s="1"/>
  <c r="I57" i="104"/>
  <c r="G57" i="104"/>
  <c r="M56" i="104"/>
  <c r="T56" i="104" s="1"/>
  <c r="I56" i="104"/>
  <c r="G56" i="104"/>
  <c r="T55" i="104"/>
  <c r="M55" i="104"/>
  <c r="I55" i="104"/>
  <c r="G55" i="104"/>
  <c r="M54" i="104"/>
  <c r="T54" i="104" s="1"/>
  <c r="I54" i="104"/>
  <c r="G54" i="104"/>
  <c r="M53" i="104"/>
  <c r="T53" i="104" s="1"/>
  <c r="I53" i="104"/>
  <c r="G53" i="104"/>
  <c r="M52" i="104"/>
  <c r="T52" i="104" s="1"/>
  <c r="I52" i="104"/>
  <c r="G52" i="104"/>
  <c r="M51" i="104"/>
  <c r="T51" i="104" s="1"/>
  <c r="I51" i="104"/>
  <c r="G51" i="104"/>
  <c r="M50" i="104"/>
  <c r="T50" i="104" s="1"/>
  <c r="I50" i="104"/>
  <c r="G50" i="104"/>
  <c r="T49" i="104"/>
  <c r="M49" i="104"/>
  <c r="I49" i="104"/>
  <c r="G49" i="104"/>
  <c r="M48" i="104"/>
  <c r="T48" i="104" s="1"/>
  <c r="I48" i="104"/>
  <c r="G48" i="104"/>
  <c r="M28" i="104"/>
  <c r="L28" i="104"/>
  <c r="J28" i="104"/>
  <c r="F28" i="104"/>
  <c r="J35" i="102"/>
  <c r="J43" i="105"/>
  <c r="M41" i="105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T13" i="105" s="1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25" i="18"/>
  <c r="T102" i="104" l="1"/>
  <c r="T104" i="104" s="1"/>
  <c r="I27" i="5"/>
  <c r="T41" i="105"/>
  <c r="H26" i="5"/>
  <c r="T72" i="104"/>
  <c r="G27" i="5"/>
  <c r="T87" i="104"/>
  <c r="H27" i="5"/>
  <c r="T70" i="104"/>
  <c r="T76" i="104"/>
  <c r="T71" i="104"/>
  <c r="M67" i="104"/>
  <c r="C27" i="5" s="1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E8" i="5"/>
  <c r="H8" i="5"/>
  <c r="E1" i="18" s="1"/>
  <c r="C8" i="5"/>
  <c r="B8" i="5"/>
  <c r="H13" i="14"/>
  <c r="B27" i="5" l="1"/>
  <c r="T99" i="104"/>
  <c r="M99" i="104"/>
  <c r="M107" i="104" s="1"/>
  <c r="T11" i="105"/>
  <c r="T16" i="105" s="1"/>
  <c r="M43" i="105"/>
  <c r="T32" i="105"/>
  <c r="M32" i="105"/>
  <c r="C26" i="5" s="1"/>
  <c r="B26" i="5" s="1"/>
  <c r="M16" i="105"/>
  <c r="M6" i="102"/>
  <c r="M8" i="102" s="1"/>
  <c r="M32" i="102"/>
  <c r="T30" i="102"/>
  <c r="T32" i="102" s="1"/>
  <c r="E1" i="74"/>
  <c r="T42" i="106"/>
  <c r="L42" i="106"/>
  <c r="J42" i="106"/>
  <c r="M42" i="106"/>
  <c r="T38" i="106"/>
  <c r="L38" i="106"/>
  <c r="T34" i="106"/>
  <c r="L34" i="106"/>
  <c r="M13" i="106"/>
  <c r="L13" i="106"/>
  <c r="J13" i="106"/>
  <c r="G13" i="106"/>
  <c r="F13" i="106"/>
  <c r="M46" i="105" l="1"/>
  <c r="B50" i="93" s="1"/>
  <c r="T46" i="105"/>
  <c r="T6" i="102"/>
  <c r="T8" i="102" s="1"/>
  <c r="M38" i="106"/>
  <c r="M34" i="106"/>
  <c r="T45" i="106"/>
  <c r="J34" i="106"/>
  <c r="J38" i="106"/>
  <c r="J45" i="106" l="1"/>
  <c r="G24" i="103" l="1"/>
  <c r="O46" i="86" l="1"/>
  <c r="N46" i="86"/>
  <c r="L46" i="86"/>
  <c r="H26" i="19"/>
  <c r="I46" i="86" l="1"/>
  <c r="H48" i="86" s="1"/>
  <c r="I28" i="12" l="1"/>
  <c r="E1" i="73" l="1"/>
  <c r="E1" i="44"/>
  <c r="Q13" i="14"/>
  <c r="D5" i="93" l="1"/>
  <c r="O87" i="24" l="1"/>
  <c r="N87" i="24"/>
  <c r="L87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3" i="14"/>
  <c r="N13" i="14"/>
  <c r="K13" i="14"/>
  <c r="J13" i="14"/>
  <c r="H10" i="30"/>
  <c r="I8" i="5" l="1"/>
  <c r="P11" i="103" l="1"/>
  <c r="N11" i="103"/>
  <c r="H11" i="103"/>
  <c r="J11" i="103" l="1"/>
  <c r="Q11" i="103"/>
  <c r="K11" i="103"/>
  <c r="H13" i="103" l="1"/>
  <c r="N11" i="7" l="1"/>
  <c r="L11" i="7"/>
  <c r="I11" i="7"/>
  <c r="H11" i="7"/>
  <c r="O11" i="7" l="1"/>
  <c r="G38" i="12" l="1"/>
  <c r="G18" i="30" l="1"/>
  <c r="H14" i="30" s="1"/>
  <c r="G17" i="78" l="1"/>
  <c r="G19" i="74"/>
  <c r="H10" i="74"/>
  <c r="G18" i="6"/>
  <c r="G18" i="4"/>
  <c r="G16" i="22" l="1"/>
  <c r="H11" i="22" l="1"/>
  <c r="H13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5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44"/>
  <c r="H10" i="5" l="1"/>
  <c r="O9" i="76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E1" i="14"/>
  <c r="G10" i="5"/>
  <c r="G8" i="5"/>
  <c r="D8" i="5"/>
  <c r="H17" i="14" l="1"/>
  <c r="M2" i="14"/>
  <c r="N2" i="14" s="1"/>
  <c r="H29" i="18"/>
  <c r="H18" i="5"/>
  <c r="H22" i="5" s="1"/>
  <c r="H29" i="5" s="1"/>
  <c r="M4" i="14"/>
  <c r="N4" i="14" s="1"/>
  <c r="M3" i="14"/>
  <c r="N3" i="14" s="1"/>
  <c r="B16" i="5"/>
  <c r="D20" i="5"/>
  <c r="F22" i="5"/>
  <c r="E22" i="5"/>
  <c r="D22" i="5"/>
  <c r="F20" i="5"/>
  <c r="G20" i="5"/>
  <c r="E1" i="6"/>
  <c r="H14" i="6" s="1"/>
  <c r="C18" i="5"/>
  <c r="C22" i="5" s="1"/>
  <c r="C29" i="5" s="1"/>
  <c r="E1" i="24"/>
  <c r="E1" i="30"/>
  <c r="E1" i="7"/>
  <c r="H15" i="7" s="1"/>
  <c r="E1" i="4"/>
  <c r="H14" i="4" s="1"/>
  <c r="B18" i="5" l="1"/>
  <c r="G22" i="5" l="1"/>
  <c r="G29" i="5" s="1"/>
  <c r="B14" i="5" l="1"/>
  <c r="H14" i="74"/>
  <c r="I10" i="5" l="1"/>
  <c r="B10" i="5" s="1"/>
  <c r="I87" i="24" l="1"/>
  <c r="H91" i="24" s="1"/>
  <c r="H89" i="24" l="1"/>
  <c r="I12" i="5"/>
  <c r="B12" i="5" s="1"/>
  <c r="I22" i="5" l="1"/>
  <c r="I29" i="5" s="1"/>
  <c r="I20" i="5"/>
  <c r="B20" i="5" s="1"/>
  <c r="H30" i="19" l="1"/>
  <c r="E1" i="86" s="1"/>
  <c r="H50" i="86" l="1"/>
  <c r="E1" i="103" s="1"/>
  <c r="H15" i="103" s="1"/>
  <c r="M45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<sst xmlns="http://schemas.openxmlformats.org/spreadsheetml/2006/main" count="3024" uniqueCount="766">
  <si>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</si>
  <si>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</si>
  <si>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</si>
  <si>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</si>
  <si>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</si>
  <si>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</si>
  <si>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</si>
  <si>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</si>
  <si>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</si>
  <si>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</si>
  <si>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</si>
  <si>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</si>
  <si>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</si>
  <si>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</si>
  <si>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</si>
  <si>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</si>
  <si>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</si>
  <si>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</si>
  <si>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</si>
  <si>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</si>
  <si>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</si>
  <si>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</si>
  <si>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</si>
  <si>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</si>
  <si>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</si>
  <si>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</si>
  <si>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</si>
  <si>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</si>
  <si>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</si>
  <si>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</si>
  <si>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</si>
  <si>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</si>
  <si>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</si>
  <si>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</si>
  <si>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</si>
  <si>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</si>
  <si>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</si>
  <si>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</si>
  <si>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</si>
  <si>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</si>
  <si>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</si>
  <si>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</si>
  <si>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</si>
  <si>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</si>
  <si>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</si>
  <si>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</si>
  <si>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</si>
  <si>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</si>
  <si>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</si>
  <si>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</si>
  <si>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</si>
  <si>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</si>
  <si>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</si>
  <si>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</si>
  <si>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</si>
  <si>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</si>
  <si>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</si>
  <si>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</si>
  <si>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</si>
  <si>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</si>
  <si>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</si>
  <si>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</si>
  <si>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</si>
  <si>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</si>
  <si>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</si>
  <si>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</si>
  <si>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</si>
  <si>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</si>
  <si>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</si>
  <si>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</si>
  <si>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</si>
  <si>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</si>
  <si>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</si>
  <si>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</si>
  <si>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</si>
  <si>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</si>
  <si>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</si>
  <si>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</si>
  <si>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</si>
  <si>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</si>
  <si>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</si>
  <si>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</si>
  <si>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</si>
  <si>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</si>
  <si>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</si>
  <si>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</si>
  <si>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</si>
  <si>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</si>
  <si>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</si>
  <si>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</si>
  <si>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</si>
  <si>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</si>
  <si>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</si>
  <si>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</si>
  <si>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</si>
  <si>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</si>
  <si>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</si>
  <si>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</si>
  <si>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</si>
  <si>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</si>
  <si>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</si>
  <si>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</si>
  <si>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</si>
  <si>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</si>
  <si>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</si>
  <si>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</si>
  <si>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</si>
  <si>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</si>
  <si>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</si>
  <si>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</si>
  <si>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</si>
  <si>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</si>
  <si>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</si>
  <si>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</si>
  <si>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</si>
  <si>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</si>
  <si>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</si>
  <si>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</si>
  <si>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</si>
  <si>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</si>
  <si>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</si>
  <si>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</si>
  <si>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</si>
  <si>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</si>
  <si>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</si>
  <si>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</si>
  <si>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</si>
  <si>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</si>
  <si>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</si>
  <si>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</si>
  <si>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</si>
  <si>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</si>
  <si>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</si>
  <si>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</si>
  <si>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</si>
  <si>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</si>
  <si>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</si>
  <si>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</si>
  <si>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</si>
  <si>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</si>
  <si>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</si>
  <si>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</si>
  <si>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</si>
  <si>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</si>
  <si>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</si>
  <si>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</si>
  <si>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</si>
  <si>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</si>
  <si>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</si>
  <si>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</si>
  <si>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</si>
  <si>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</si>
  <si>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</si>
  <si>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</si>
  <si>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</si>
  <si>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</si>
  <si>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</si>
  <si>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</si>
  <si>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</si>
  <si>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</si>
  <si>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</si>
  <si>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</si>
  <si>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</si>
  <si>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</si>
  <si>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</si>
  <si>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</si>
  <si>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</si>
  <si>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</si>
  <si>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</si>
  <si>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</si>
  <si>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</si>
  <si>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</si>
  <si>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</si>
  <si>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</si>
  <si>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</si>
  <si>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</si>
  <si>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</si>
  <si>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</si>
  <si>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</si>
  <si>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</si>
  <si>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</si>
  <si>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</si>
  <si>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</si>
  <si>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</si>
  <si>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</si>
  <si>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</si>
  <si>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</si>
  <si>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</si>
  <si>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</si>
  <si>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</si>
  <si>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</si>
  <si>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</si>
  <si>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</si>
  <si>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</si>
  <si>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</si>
  <si>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</si>
  <si>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</si>
  <si>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</si>
  <si>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</si>
  <si>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</si>
  <si>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</si>
  <si>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</si>
  <si>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</si>
  <si>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</si>
  <si>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</si>
  <si>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</si>
  <si>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</si>
  <si>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</si>
  <si>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</si>
  <si>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</si>
  <si>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</si>
  <si>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</si>
  <si>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</si>
  <si>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</si>
  <si>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</si>
  <si>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</si>
  <si>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</si>
  <si>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</si>
  <si>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</si>
  <si>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</si>
  <si>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</si>
  <si>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</si>
  <si>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</si>
  <si>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</si>
  <si>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</si>
  <si>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</si>
  <si>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</si>
  <si>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</si>
  <si>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</si>
  <si>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</si>
  <si>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</si>
  <si>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</si>
  <si>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</si>
  <si>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</si>
  <si>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</si>
  <si>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</si>
  <si>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</si>
  <si>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</si>
  <si>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</si>
  <si>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</si>
  <si>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</si>
  <si>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</si>
  <si>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</si>
  <si>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</si>
  <si>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</si>
  <si>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</si>
  <si>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</si>
  <si>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</si>
  <si>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</si>
  <si>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</si>
  <si>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</si>
  <si>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</si>
  <si>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</si>
  <si>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</si>
  <si>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</si>
  <si>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</si>
  <si>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</si>
  <si>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</si>
  <si>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</si>
  <si>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</si>
  <si>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</si>
  <si>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</si>
  <si>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</si>
  <si>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</si>
  <si>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</si>
  <si>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</si>
  <si>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</si>
  <si>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</si>
  <si>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</si>
  <si>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</si>
  <si>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</si>
  <si>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</si>
  <si>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</si>
  <si>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</si>
  <si>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</si>
  <si>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</si>
  <si>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</si>
  <si>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</si>
  <si>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</si>
  <si>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</si>
  <si>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</si>
  <si>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</si>
  <si>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</si>
  <si>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</si>
  <si>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</si>
  <si>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</si>
  <si>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</si>
  <si>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</si>
  <si>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</si>
  <si>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</si>
  <si>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</si>
  <si>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</si>
  <si>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</si>
  <si>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</si>
  <si>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</si>
  <si>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</si>
  <si>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</si>
  <si>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</si>
  <si>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</si>
  <si>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</si>
  <si>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</si>
  <si>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</si>
  <si>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</si>
  <si>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</si>
  <si>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</si>
  <si>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</si>
  <si>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</si>
  <si>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</si>
  <si>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</si>
  <si>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</si>
  <si>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</si>
  <si>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</si>
  <si>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</si>
  <si>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</si>
  <si>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</si>
  <si>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</si>
  <si>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</si>
  <si>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</si>
  <si>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</si>
  <si>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</si>
  <si>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</si>
  <si>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</si>
  <si>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</si>
  <si>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</si>
  <si>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</si>
  <si>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</si>
  <si>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</si>
  <si>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</si>
  <si>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</si>
  <si>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</si>
  <si>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</si>
  <si>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</si>
  <si>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</si>
  <si>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</si>
  <si>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</si>
  <si>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</si>
  <si>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</si>
  <si>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</si>
  <si>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</si>
  <si>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</si>
  <si>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</si>
  <si>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</si>
  <si>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</si>
  <si>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</si>
  <si>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</si>
  <si>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</si>
  <si>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</si>
  <si>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</si>
  <si>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</si>
  <si>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</si>
  <si>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</si>
  <si>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</si>
  <si>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</si>
  <si>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</si>
  <si>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</si>
  <si>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</si>
  <si>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</si>
  <si>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</si>
  <si>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</si>
  <si>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</si>
  <si>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</si>
  <si>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</si>
  <si>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</si>
  <si>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</si>
  <si>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</si>
  <si>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</si>
  <si>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</si>
  <si>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</si>
  <si>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</si>
  <si>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</si>
  <si>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</si>
  <si>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</si>
  <si>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</si>
  <si>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</si>
  <si>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</si>
  <si>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</si>
  <si>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</si>
  <si>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</si>
  <si>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</si>
  <si>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</si>
  <si>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</si>
  <si>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</si>
  <si>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</si>
  <si>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</si>
  <si>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</si>
  <si>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</si>
  <si>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</si>
  <si>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</si>
  <si>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</si>
  <si>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</si>
  <si>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</si>
  <si>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</si>
  <si>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</si>
  <si>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</si>
  <si>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</si>
  <si>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</si>
  <si>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</si>
  <si>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</si>
  <si>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</si>
  <si>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</si>
  <si>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</si>
  <si>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</si>
  <si>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</si>
  <si>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</si>
  <si>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</si>
  <si>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</si>
  <si>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</si>
  <si>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</si>
  <si>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</si>
  <si>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</si>
  <si>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</si>
  <si>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</si>
  <si>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</si>
  <si>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</si>
  <si>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</si>
  <si>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</si>
  <si>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</si>
  <si>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</si>
  <si>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</si>
  <si>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</si>
  <si>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</si>
  <si>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</si>
  <si>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</si>
  <si>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</si>
  <si>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</si>
  <si>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</si>
  <si>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</si>
  <si>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</si>
  <si>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</si>
  <si>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</si>
  <si>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</si>
  <si>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</si>
  <si>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</si>
  <si>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</si>
  <si>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</si>
  <si>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</si>
  <si>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</si>
  <si>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</si>
  <si>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</si>
  <si>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</si>
  <si>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Hughes House II</t>
  </si>
  <si>
    <t>5266; $52,000,000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</si>
  <si>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</si>
  <si>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</si>
  <si>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</si>
  <si>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</si>
  <si>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</si>
  <si>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</si>
  <si>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</si>
  <si>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</si>
  <si>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</si>
  <si>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</si>
  <si>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</si>
  <si>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</si>
  <si>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</si>
  <si>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</si>
  <si>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</si>
  <si>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</si>
  <si>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</si>
  <si>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</si>
  <si>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</si>
  <si>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</si>
  <si>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</si>
  <si>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</si>
  <si>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</si>
  <si>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</si>
  <si>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</si>
  <si>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</si>
  <si>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</si>
  <si>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</si>
  <si>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</si>
  <si>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</si>
  <si>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</si>
  <si>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</si>
  <si>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</si>
  <si>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</si>
  <si>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</si>
  <si>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</si>
  <si>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</si>
  <si>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</si>
  <si>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</si>
  <si>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</si>
  <si>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</si>
  <si>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</si>
  <si>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</si>
  <si>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</si>
  <si>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</si>
  <si>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</si>
  <si>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</si>
  <si>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</si>
  <si>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</si>
  <si>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</si>
  <si>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</si>
  <si>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</si>
  <si>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</si>
  <si>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</si>
  <si>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</si>
  <si>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</si>
  <si>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</si>
  <si>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</si>
  <si>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</si>
  <si>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</si>
  <si>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</si>
  <si>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</si>
  <si>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</si>
  <si>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</si>
  <si>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</si>
  <si>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</si>
  <si>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</si>
  <si>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</si>
  <si>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</si>
  <si>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</si>
  <si>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</si>
  <si>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</si>
  <si>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</si>
  <si>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</si>
  <si>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</si>
  <si>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</si>
  <si>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</si>
  <si>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</si>
  <si>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</si>
  <si>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</si>
  <si>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</si>
  <si>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</si>
  <si>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</si>
  <si>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</si>
  <si>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</si>
  <si>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</si>
  <si>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</si>
  <si>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</si>
  <si>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</si>
  <si>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</si>
  <si>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</si>
  <si>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</si>
  <si>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</si>
  <si>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</si>
  <si>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</si>
  <si>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</si>
  <si>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</si>
  <si>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</si>
  <si>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</si>
  <si>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</si>
  <si>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</si>
  <si>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25-050</t>
  </si>
  <si>
    <t>25-120</t>
  </si>
  <si>
    <t>25-101</t>
  </si>
  <si>
    <t>25-070</t>
  </si>
  <si>
    <t>25-102</t>
  </si>
  <si>
    <t>25-097</t>
  </si>
  <si>
    <t>25-037</t>
  </si>
  <si>
    <t>25-060</t>
  </si>
  <si>
    <t>25-025</t>
  </si>
  <si>
    <t>25-115</t>
  </si>
  <si>
    <t>25-041</t>
  </si>
  <si>
    <t>25-121</t>
  </si>
  <si>
    <t>25-122</t>
  </si>
  <si>
    <t>25-124</t>
  </si>
  <si>
    <t>25-126</t>
  </si>
  <si>
    <t>25-128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</si>
  <si>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</si>
  <si>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</si>
  <si>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</si>
  <si>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</si>
  <si>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</si>
  <si>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</si>
  <si>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</si>
  <si>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</si>
  <si>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</si>
  <si>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</si>
  <si>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</si>
  <si>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</si>
  <si>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</si>
  <si>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</si>
  <si>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</si>
  <si>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</si>
  <si>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</si>
  <si>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</si>
  <si>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</si>
  <si>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</si>
  <si>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</si>
  <si>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</si>
  <si>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</si>
  <si>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</si>
  <si>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</si>
  <si>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</si>
  <si>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</si>
  <si>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</si>
  <si>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</si>
  <si>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</si>
  <si>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</si>
  <si>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</si>
  <si>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</si>
  <si>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</si>
  <si>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</si>
  <si>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</si>
  <si>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</si>
  <si>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</si>
  <si>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</si>
  <si>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</si>
  <si>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</si>
  <si>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</si>
  <si>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</si>
  <si>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</si>
  <si>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</si>
  <si>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</si>
  <si>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</si>
  <si>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</si>
  <si>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</si>
  <si>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</si>
  <si>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</si>
  <si>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</si>
  <si>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</si>
  <si>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</si>
  <si>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</si>
  <si>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</si>
  <si>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</si>
  <si>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</si>
  <si>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</si>
  <si>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</si>
  <si>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</si>
  <si>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</si>
  <si>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</si>
  <si>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</si>
  <si>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</si>
  <si>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</si>
  <si>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</si>
  <si>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</si>
  <si>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</si>
  <si>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</si>
  <si>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</si>
  <si>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Includes $35,000,000 of CF from 2022</t>
  </si>
  <si>
    <t>Includes $52,000,000 of CF from 2023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</si>
  <si>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</si>
  <si>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</si>
  <si>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</si>
  <si>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</si>
  <si>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</si>
  <si>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</si>
  <si>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</si>
  <si>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</si>
  <si>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</si>
  <si>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</si>
  <si>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</si>
  <si>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</si>
  <si>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</si>
  <si>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5277; $15,000,000</t>
  </si>
  <si>
    <t>5279; $6,500,000</t>
  </si>
  <si>
    <t>2023CF (5081)</t>
  </si>
  <si>
    <t>2022CF(4903)</t>
  </si>
  <si>
    <t>5282; $60,000,000</t>
  </si>
  <si>
    <t>2024CF (5199)</t>
  </si>
  <si>
    <t>Housing Options, Inc.</t>
  </si>
  <si>
    <t>**Tax Credit Email- 1/10/2025- withdrawn 1/10/2025</t>
  </si>
  <si>
    <t>**Tax Credit Email- 1/8/2025- received 1/13/2025</t>
  </si>
  <si>
    <t>5291; $50,000,000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</si>
  <si>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</si>
  <si>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</si>
  <si>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</si>
  <si>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</si>
  <si>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</si>
  <si>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</si>
  <si>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</si>
  <si>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</si>
  <si>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25-134</t>
  </si>
  <si>
    <t>**Tax Credit Email- 1/16/2025- withdrawn 1/22/2025</t>
  </si>
  <si>
    <t>5314; $50,000,000</t>
  </si>
  <si>
    <t>2024CF (5239)</t>
  </si>
  <si>
    <t>2024CF (5243)</t>
  </si>
  <si>
    <t>5315; $40,000,000</t>
  </si>
  <si>
    <t>2024CF (5253)</t>
  </si>
  <si>
    <t>**Tax Credit Email- 1/16/2025- received 1/22/2025</t>
  </si>
  <si>
    <t>**Tax Credit Email- 1/17/2025- received 1/23/2025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</si>
  <si>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</si>
  <si>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</si>
  <si>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</si>
  <si>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</si>
  <si>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</si>
  <si>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</si>
  <si>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</si>
  <si>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</si>
  <si>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</si>
  <si>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</si>
  <si>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</si>
  <si>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</si>
  <si>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5321; $35,000,000</t>
  </si>
  <si>
    <t>2024CF (5321)</t>
  </si>
  <si>
    <t>5267; $143,868,101.05</t>
  </si>
  <si>
    <t>Excludes $162,000,000 of CF from 2023</t>
  </si>
  <si>
    <t>5322; $35,000,000</t>
  </si>
  <si>
    <t>5323; $50,000,000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</si>
  <si>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</si>
  <si>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</si>
  <si>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</si>
  <si>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</si>
  <si>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</si>
  <si>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</si>
  <si>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</si>
  <si>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</si>
  <si>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**Tax Credit Email 2/25/2025- received 2/27/2025</t>
  </si>
  <si>
    <t>**Tax Credit Email 2/24/2025- received 2/27/2025</t>
  </si>
  <si>
    <t>**Tax Credit Email 2/24/2025- withdrawn 2/27/2025</t>
  </si>
  <si>
    <t>5328; $42,000,000</t>
  </si>
  <si>
    <t>2024CF (5254)</t>
  </si>
  <si>
    <t>2024CF (5204)</t>
  </si>
  <si>
    <t>2024CF (5204 &amp; 5244)</t>
  </si>
  <si>
    <t>**Tax Credit Email 2/27/2025- see Local Collapse tab</t>
  </si>
  <si>
    <t>25-143</t>
  </si>
  <si>
    <t>Pharr HFC</t>
  </si>
  <si>
    <t>Aster Villas Apartments</t>
  </si>
  <si>
    <t>Pharr</t>
  </si>
  <si>
    <t>Single Family QMB/MCC</t>
  </si>
  <si>
    <t>2024CF (5213)</t>
  </si>
  <si>
    <t>25-145</t>
  </si>
  <si>
    <t>Bexar County HFC</t>
  </si>
  <si>
    <t>Merida Apartments</t>
  </si>
  <si>
    <t>**Tax Credit Email 3/3/2025- received 3/4/2025</t>
  </si>
  <si>
    <t>**Tax Credit Email 2/27/2025- withdrawn 3/4/2025</t>
  </si>
  <si>
    <t>**Tax Credit Email 3/4/2025- withdrawn 3/4/2025</t>
  </si>
  <si>
    <t>**Tax Credit Email 3/4/2025- received 3/5/2025</t>
  </si>
  <si>
    <t>**Tax Credit Email 3/3/2025- received 3/6/2025</t>
  </si>
  <si>
    <t>25-146</t>
  </si>
  <si>
    <t>5333; $515</t>
  </si>
  <si>
    <t>5333; $4,750,000</t>
  </si>
  <si>
    <t>2024CF (5233 &amp; 5236)</t>
  </si>
  <si>
    <t>**Tax Credit Email 3/4/2025- received 3/7/2025</t>
  </si>
  <si>
    <t>25-147</t>
  </si>
  <si>
    <t>25-148</t>
  </si>
  <si>
    <t>**Tax Credit Email 3/7/2025- withdrawn 3/12/2025</t>
  </si>
  <si>
    <t>**Tax Credit Email 3/10/2025- expired 3/14/2025</t>
  </si>
  <si>
    <t>**Tax Credit Email 3/13/2025- withdrawn 3/17/2025</t>
  </si>
  <si>
    <t>EXPIRED</t>
  </si>
  <si>
    <t>25-149</t>
  </si>
  <si>
    <t>**Tax Credit Email 3/17/2025- withdrawn 3/20/2025</t>
  </si>
  <si>
    <t>**Tax Credit Email 3/17/2025- received 3/20/2025</t>
  </si>
  <si>
    <t>5340; $15,000,000</t>
  </si>
  <si>
    <t>5322; $35,000,000 &amp; 5340 $15,000,000</t>
  </si>
  <si>
    <t>25-150</t>
  </si>
  <si>
    <t>Oak Timbers North Apartments</t>
  </si>
  <si>
    <t>25-151</t>
  </si>
  <si>
    <t>Oak Timbers South Apartments</t>
  </si>
  <si>
    <t>25-152</t>
  </si>
  <si>
    <t>Shady Acres Bungalows</t>
  </si>
  <si>
    <t>25-153</t>
  </si>
  <si>
    <t>Baraboo Hills</t>
  </si>
  <si>
    <t>**Tax Credit Email 3/21/2025- withdrawn 3/26/2025</t>
  </si>
  <si>
    <t>Sycamores at Pleasant Valley</t>
  </si>
  <si>
    <t>**Tax Credit Email 3/27/2025- withdrawn 4/1/2025</t>
  </si>
  <si>
    <t>5326; $6,000,000</t>
  </si>
  <si>
    <t>25-155</t>
  </si>
  <si>
    <t>5347; $25,000,000</t>
  </si>
  <si>
    <t>2024CF (5238)</t>
  </si>
  <si>
    <t>Mill Stream Apt Homes</t>
  </si>
  <si>
    <t>5348: $2,000,000</t>
  </si>
  <si>
    <t>5348; $2,000,000</t>
  </si>
  <si>
    <t>5330; $26,102,168.20</t>
  </si>
  <si>
    <t>5349; $179,845,000</t>
  </si>
  <si>
    <t>2023CF (5058)</t>
  </si>
  <si>
    <t>**Site Control Email- 4/14/2025- received 4/15/2025</t>
  </si>
  <si>
    <t>**Site Control Email- 4/14/2025- withdrawn 4/15/2025</t>
  </si>
  <si>
    <t>Water Furnishing Facilities</t>
  </si>
  <si>
    <t>5351; $35,000,000</t>
  </si>
  <si>
    <t>5350; $2,500,000</t>
  </si>
  <si>
    <t>2024CF (5268)</t>
  </si>
  <si>
    <t>2024CF (5212)</t>
  </si>
  <si>
    <t>25-158</t>
  </si>
  <si>
    <t>25-159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</si>
</sst>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3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sz val="9"/>
      <color rgb="FF7030A0"/>
      <name val="Times New Roman"/>
      <family val="1"/>
    </font>
    <font>
      <b/>
      <i/>
      <sz val="9"/>
      <name val="Times New Roman"/>
      <family val="1"/>
    </font>
    <font>
      <b/>
      <i/>
      <sz val="9"/>
      <name val="Geneva"/>
    </font>
    <font>
      <i/>
      <sz val="9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9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14" fontId="5" fillId="0" borderId="0" xfId="8" applyNumberFormat="1" applyFont="1" applyFill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165" fontId="5" fillId="0" borderId="0" xfId="8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42" fontId="4" fillId="0" borderId="0" xfId="48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29" fillId="0" borderId="0" xfId="8" applyNumberFormat="1" applyFont="1" applyBorder="1" applyAlignment="1">
      <alignment horizontal="center"/>
    </xf>
    <xf numFmtId="164" fontId="29" fillId="0" borderId="0" xfId="0" applyNumberFormat="1" applyFont="1"/>
    <xf numFmtId="1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164" fontId="29" fillId="0" borderId="0" xfId="8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5" fontId="30" fillId="0" borderId="0" xfId="0" applyNumberFormat="1" applyFont="1" applyAlignment="1">
      <alignment horizontal="center"/>
    </xf>
    <xf numFmtId="42" fontId="30" fillId="0" borderId="0" xfId="8" applyNumberFormat="1" applyFont="1" applyFill="1" applyBorder="1" applyAlignment="1">
      <alignment horizontal="center"/>
    </xf>
    <xf numFmtId="14" fontId="30" fillId="0" borderId="0" xfId="8" applyNumberFormat="1" applyFont="1" applyFill="1" applyBorder="1" applyAlignment="1">
      <alignment horizontal="center"/>
    </xf>
    <xf numFmtId="14" fontId="30" fillId="0" borderId="0" xfId="0" applyNumberFormat="1" applyFont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4" fontId="30" fillId="0" borderId="0" xfId="0" applyNumberFormat="1" applyFont="1" applyAlignment="1">
      <alignment horizontal="right"/>
    </xf>
    <xf numFmtId="0" fontId="31" fillId="0" borderId="0" xfId="0" applyFont="1"/>
    <xf numFmtId="164" fontId="1" fillId="0" borderId="0" xfId="0" applyNumberFormat="1" applyFont="1"/>
    <xf numFmtId="0" fontId="32" fillId="0" borderId="0" xfId="0" applyFont="1"/>
    <xf numFmtId="14" fontId="4" fillId="0" borderId="0" xfId="8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164" fontId="5" fillId="0" borderId="11" xfId="8" applyNumberFormat="1" applyFont="1" applyFill="1" applyBorder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44" fontId="5" fillId="0" borderId="11" xfId="8" applyNumberFormat="1" applyFont="1" applyFill="1" applyBorder="1" applyAlignment="1">
      <alignment horizontal="center"/>
    </xf>
    <xf numFmtId="166" fontId="5" fillId="0" borderId="11" xfId="8" applyNumberFormat="1" applyFont="1" applyFill="1" applyBorder="1" applyAlignment="1">
      <alignment horizontal="center"/>
    </xf>
    <xf numFmtId="14" fontId="5" fillId="3" borderId="16" xfId="0" applyNumberFormat="1" applyFont="1" applyFill="1" applyBorder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44" fontId="5" fillId="0" borderId="0" xfId="0" applyNumberFormat="1" applyFont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66" fontId="21" fillId="0" borderId="0" xfId="8" applyNumberFormat="1" applyFont="1" applyBorder="1" applyAlignment="1">
      <alignment horizontal="left"/>
    </xf>
    <xf numFmtId="178" fontId="0" fillId="0" borderId="0" xfId="0" applyNumberFormat="1"/>
    <xf numFmtId="42" fontId="5" fillId="0" borderId="11" xfId="0" applyNumberFormat="1" applyFont="1" applyBorder="1" applyAlignment="1">
      <alignment horizontal="center"/>
    </xf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1" xfId="0" applyFont="1" applyFill="1" applyBorder="1" applyAlignment="1">
      <alignment horizontal="left"/>
    </xf>
    <xf numFmtId="42" fontId="1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left"/>
    </xf>
    <xf numFmtId="164" fontId="4" fillId="4" borderId="2" xfId="8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44" fontId="22" fillId="0" borderId="11" xfId="0" applyNumberFormat="1" applyFont="1" applyBorder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44" fontId="4" fillId="0" borderId="0" xfId="23" applyFont="1" applyFill="1" applyBorder="1" applyAlignment="1">
      <alignment horizontal="center"/>
    </xf>
    <xf numFmtId="44" fontId="21" fillId="0" borderId="0" xfId="8" applyNumberFormat="1" applyFont="1" applyBorder="1" applyAlignment="1">
      <alignment horizontal="center"/>
    </xf>
    <xf numFmtId="44" fontId="21" fillId="0" borderId="0" xfId="0" applyNumberFormat="1" applyFont="1"/>
    <xf numFmtId="164" fontId="4" fillId="0" borderId="11" xfId="8" applyNumberFormat="1" applyFont="1" applyBorder="1" applyAlignment="1">
      <alignment horizontal="right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44" fontId="4" fillId="0" borderId="11" xfId="23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5" fontId="4" fillId="0" borderId="11" xfId="0" applyNumberFormat="1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left"/>
    </xf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>
      <alignment horizontal="center"/>
    </xf>
    <xf numFmtId="14" fontId="22" fillId="0" borderId="0" xfId="0" applyNumberFormat="1" applyFont="1" applyFill="1" applyAlignment="1">
      <alignment horizontal="center"/>
    </xf>
    <xf numFmtId="14" fontId="22" fillId="0" borderId="0" xfId="0" applyNumberFormat="1" applyFont="1" applyFill="1" applyAlignment="1">
      <alignment horizontal="left"/>
    </xf>
    <xf numFmtId="0" fontId="21" fillId="0" borderId="0" xfId="0" applyFont="1" applyFill="1" applyAlignment="1">
      <alignment horizontal="center"/>
    </xf>
    <xf numFmtId="5" fontId="21" fillId="0" borderId="0" xfId="0" applyNumberFormat="1" applyFont="1" applyFill="1" applyAlignment="1">
      <alignment horizontal="center"/>
    </xf>
    <xf numFmtId="14" fontId="21" fillId="0" borderId="0" xfId="0" applyNumberFormat="1" applyFont="1" applyFill="1" applyAlignment="1">
      <alignment horizontal="center"/>
    </xf>
    <xf numFmtId="14" fontId="21" fillId="0" borderId="0" xfId="0" applyNumberFormat="1" applyFont="1" applyFill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8.625" style="13" customWidth="1"/>
    <col min="2" max="2" width="20" style="34" bestFit="1" customWidth="1"/>
    <col min="3" max="3" width="17.75" style="13" bestFit="1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hidden="1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445</v>
      </c>
      <c r="B3" s="13"/>
      <c r="C3" s="7">
        <v>44308</v>
      </c>
      <c r="D3" s="142"/>
      <c r="E3" s="391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2" t="s">
        <v>187</v>
      </c>
      <c r="O6" s="334" t="s">
        <v>202</v>
      </c>
      <c r="P6" s="335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3" t="s">
        <v>184</v>
      </c>
      <c r="O7" s="336" t="s">
        <v>203</v>
      </c>
      <c r="P7" s="337" t="s">
        <v>205</v>
      </c>
    </row>
    <row r="8" spans="1:18" s="1" customFormat="1">
      <c r="A8" s="150" t="s">
        <v>450</v>
      </c>
      <c r="B8" s="308">
        <f>31290831*130</f>
        <v>4067808030</v>
      </c>
      <c r="C8" s="309">
        <f>ROUND(C5*$B$8,0)</f>
        <v>1311868090</v>
      </c>
      <c r="D8" s="309">
        <f t="shared" ref="D8:I8" si="0">ROUND(D5*$B$8,0)</f>
        <v>406780803</v>
      </c>
      <c r="E8" s="309">
        <f>ROUND(E5*$B$8,0)-1</f>
        <v>81356160</v>
      </c>
      <c r="F8" s="309">
        <f t="shared" si="0"/>
        <v>106779961</v>
      </c>
      <c r="G8" s="309">
        <f t="shared" si="0"/>
        <v>213559922</v>
      </c>
      <c r="H8" s="309">
        <f>ROUND(H5*$B$8,0)-1</f>
        <v>747459725</v>
      </c>
      <c r="I8" s="310">
        <f t="shared" si="0"/>
        <v>1200003369</v>
      </c>
      <c r="J8" s="324">
        <f>'Aug 15'!E1</f>
        <v>2012053071</v>
      </c>
      <c r="K8" s="9"/>
      <c r="O8" s="87" t="s">
        <v>189</v>
      </c>
      <c r="P8" s="338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1"/>
      <c r="J9" s="325"/>
      <c r="K9" s="83"/>
      <c r="O9" s="87" t="s">
        <v>190</v>
      </c>
      <c r="P9" s="338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4987961421</v>
      </c>
      <c r="C10" s="63">
        <f>'SC1 MRB'!$J$13</f>
        <v>207845000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TDHCA'!H11</f>
        <v>11000000</v>
      </c>
      <c r="H10" s="312">
        <f>'REGION 1'!H10+'REGION 2'!H9+'REGION 3'!H28+'REGION 4'!H9+'REGION 5'!H10+'REGION 6'!H25+'REGION 7'!H26+'REGION 8'!H9+'REGION 9'!H11+'REGION 10'!H9+'REGION 11'!H10+'REGION 12'!H9+'REGION 13'!H10+'SC4 MF- Local Collapse'!H46</f>
        <v>1641458211</v>
      </c>
      <c r="I10" s="311">
        <f>'SC5 OTHER'!$H$87</f>
        <v>2937658210</v>
      </c>
      <c r="J10" s="326">
        <f>'Aug 15'!H11</f>
        <v>0</v>
      </c>
      <c r="K10" s="2"/>
      <c r="O10" s="87" t="s">
        <v>191</v>
      </c>
      <c r="P10" s="338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1"/>
      <c r="J11" s="325"/>
      <c r="K11" s="2"/>
      <c r="O11" s="87" t="s">
        <v>192</v>
      </c>
      <c r="P11" s="338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3581155947</v>
      </c>
      <c r="C12" s="63">
        <f>'SC1 MRB'!$K$13</f>
        <v>207845000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TDHCA'!I11</f>
        <v>11000000</v>
      </c>
      <c r="H12" s="63">
        <f>'REGION 1'!I10+'REGION 2'!I9+'REGION 3'!I28+'REGION 4'!I9+'REGION 5'!I10+'REGION 6'!I25+'REGION 7'!I26+'REGION 8'!I9+'REGION 9'!I11+'REGION 10'!I9+'REGION 11'!I10+'REGION 12'!I9+'REGION 13'!I10+'SC4 MF- Local Collapse'!I46</f>
        <v>1028652737</v>
      </c>
      <c r="I12" s="311">
        <f>'SC5 OTHER'!$I$87</f>
        <v>2143658210</v>
      </c>
      <c r="J12" s="327">
        <f>'Aug 15'!K11</f>
        <v>0</v>
      </c>
      <c r="K12" s="2"/>
      <c r="O12" s="87" t="s">
        <v>193</v>
      </c>
      <c r="P12" s="338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1"/>
      <c r="J13" s="325"/>
      <c r="K13" s="9"/>
      <c r="O13" s="87" t="s">
        <v>194</v>
      </c>
      <c r="P13" s="338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2442207643</v>
      </c>
      <c r="C14" s="63">
        <f>'SC1 MRB'!N13</f>
        <v>26102169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TDHCA'!L11</f>
        <v>6000000</v>
      </c>
      <c r="H14" s="63">
        <f>'REGION 1'!L10+'REGION 2'!L9+'REGION 3'!L28+'REGION 4'!L9+'REGION 5'!L10+'REGION 6'!L25+'REGION 7'!L26+'REGION 8'!L9+'REGION 9'!L11+'REGION 10'!L9+'REGION 11'!L10+'REGION 12'!L9+'REGION 13'!L10+'SC4 MF- Local Collapse'!L46</f>
        <v>885652737</v>
      </c>
      <c r="I14" s="311">
        <f>'SC5 OTHER'!L87</f>
        <v>1334452737</v>
      </c>
      <c r="J14" s="327">
        <f>'Aug 15'!N11</f>
        <v>0</v>
      </c>
      <c r="O14" s="87" t="s">
        <v>195</v>
      </c>
      <c r="P14" s="338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1"/>
      <c r="J15" s="325"/>
      <c r="K15" s="9"/>
      <c r="O15" s="87" t="s">
        <v>196</v>
      </c>
      <c r="P15" s="338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6500000</v>
      </c>
      <c r="C16" s="63">
        <f>'SC1 MRB'!$P$13</f>
        <v>0</v>
      </c>
      <c r="D16" s="63">
        <f>+'SC2 State Voted'!N10</f>
        <v>0</v>
      </c>
      <c r="E16" s="63">
        <f>+'SC3 Small Issue IDBs'!N10</f>
        <v>0</v>
      </c>
      <c r="F16" s="63">
        <f>'SC4 TSAHC'!N10</f>
        <v>0</v>
      </c>
      <c r="G16" s="63">
        <f>+'SC4 MF- TDHCA'!N11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Collapse'!N46</f>
        <v>6500000</v>
      </c>
      <c r="I16" s="311">
        <f>'SC5 OTHER'!N87</f>
        <v>0</v>
      </c>
      <c r="J16" s="327">
        <f>'Aug 15'!P11</f>
        <v>0</v>
      </c>
      <c r="K16" s="2"/>
      <c r="O16" s="87" t="s">
        <v>197</v>
      </c>
      <c r="P16" s="338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1"/>
      <c r="J17" s="325"/>
      <c r="K17" s="83"/>
      <c r="O17" s="87" t="s">
        <v>198</v>
      </c>
      <c r="P17" s="338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865305473</v>
      </c>
      <c r="C18" s="63">
        <f>'SC1 MRB'!$Q$13</f>
        <v>28000000</v>
      </c>
      <c r="D18" s="63">
        <f>+'SC2 State Voted'!O10</f>
        <v>0</v>
      </c>
      <c r="E18" s="63">
        <f>+'SC3 Small Issue IDBs'!O10</f>
        <v>0</v>
      </c>
      <c r="F18" s="63">
        <f>'SC4 TSAHC'!O10</f>
        <v>0</v>
      </c>
      <c r="G18" s="63">
        <f>+'SC4 MF- TDHCA'!O11</f>
        <v>5000000</v>
      </c>
      <c r="H18" s="63">
        <f>'REGION 1'!O10+'REGION 2'!O9+'REGION 3'!O28+'REGION 4'!O9+'REGION 5'!O10+'REGION 6'!O25+'REGION 7'!O26+'REGION 8'!O9+'REGION 9'!O11+'REGION 10'!O9+'REGION 11'!O10+'REGION 12'!O9+'REGION 13'!O10+'SC4 MF- Local Collapse'!O46</f>
        <v>119000000</v>
      </c>
      <c r="I18" s="311">
        <f>'SC5 OTHER'!O87</f>
        <v>713305473</v>
      </c>
      <c r="J18" s="327">
        <f>'Aug 15'!Q11</f>
        <v>0</v>
      </c>
      <c r="O18" s="87" t="s">
        <v>199</v>
      </c>
      <c r="P18" s="338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1"/>
      <c r="J19" s="325"/>
      <c r="O19" s="87" t="s">
        <v>200</v>
      </c>
      <c r="P19" s="338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1406805474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612805474</v>
      </c>
      <c r="I20" s="311">
        <f>+I10-I12</f>
        <v>794000000</v>
      </c>
      <c r="J20" s="327">
        <f>'Aug 15'!H13</f>
        <v>0</v>
      </c>
      <c r="O20" s="339" t="s">
        <v>201</v>
      </c>
      <c r="P20" s="340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1"/>
      <c r="J21" s="325"/>
      <c r="Q21" s="168"/>
    </row>
    <row r="22" spans="1:18" s="1" customFormat="1">
      <c r="A22" s="48" t="s">
        <v>452</v>
      </c>
      <c r="B22" s="481">
        <f>'Aug 15'!H15</f>
        <v>2012053071</v>
      </c>
      <c r="C22" s="85">
        <f>+C8-C12+C18+'SC1 MRB'!G21</f>
        <v>1311868090</v>
      </c>
      <c r="D22" s="85">
        <f>+D8-D12+D18+'SC2 State Voted'!G18</f>
        <v>256780803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TDHCA'!G23</f>
        <v>213559922</v>
      </c>
      <c r="H22" s="85">
        <f>H8-H12+H18+SUM('REGION 1'!G19+'REGION 2'!G16+'REGION 3'!G38+'REGION 4'!G16+'REGION 5'!G16+'REGION 6'!G34+'REGION 7'!G34+'REGION 8'!G17+'REGION 9'!G18+'REGION 10'!G16+'REGION 11'!G17+'REGION 12'!G16+'REGION 13'!G17+'SC4 MF- Local Collapse'!G59)</f>
        <v>34557503</v>
      </c>
      <c r="I22" s="313">
        <f>+I8-I12+I18+'SC5 OTHER'!G104</f>
        <v>23650632</v>
      </c>
      <c r="J22" s="331">
        <f>J8-J12+J18+'Aug 15'!G24</f>
        <v>2012053071</v>
      </c>
      <c r="K22" s="9"/>
      <c r="Q22" s="167"/>
    </row>
    <row r="23" spans="1:18" s="1" customFormat="1">
      <c r="A23" s="48"/>
      <c r="B23" s="307"/>
      <c r="C23" s="63"/>
      <c r="D23" s="63"/>
      <c r="E23" s="63"/>
      <c r="F23" s="63"/>
      <c r="G23" s="63"/>
      <c r="H23" s="63"/>
      <c r="I23" s="311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1"/>
    </row>
    <row r="25" spans="1:18">
      <c r="A25" s="13" t="s">
        <v>260</v>
      </c>
      <c r="B25" s="419">
        <f>SUM(C25:I25)</f>
        <v>55066161.709999993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1">
        <f>'2022 CF'!M23+'2022 CF'!M24+'2022 CF'!M30</f>
        <v>65843.159999996424</v>
      </c>
    </row>
    <row r="26" spans="1:18">
      <c r="A26" s="13" t="s">
        <v>328</v>
      </c>
      <c r="B26" s="419">
        <f>SUM(C26:I26)</f>
        <v>628478399.42999971</v>
      </c>
      <c r="C26" s="63">
        <f>'2023 CF'!M32</f>
        <v>304062196.63</v>
      </c>
      <c r="D26" s="63">
        <v>0</v>
      </c>
      <c r="E26" s="63">
        <v>0</v>
      </c>
      <c r="F26" s="63">
        <v>0</v>
      </c>
      <c r="G26" s="63">
        <f>'2023 CF'!M6+'2023 CF'!M7</f>
        <v>79000000</v>
      </c>
      <c r="H26" s="63">
        <f>'2023 CF'!M10+'2023 CF'!M12+'2023 CF'!M35+'2023 CF'!M41</f>
        <v>84000000</v>
      </c>
      <c r="I26" s="311">
        <f>'2023 CF'!M11+'2023 CF'!M13+'2023 CF'!M14+'2023 CF'!M36+'2023 CF'!M37+'2023 CF'!M38+'2023 CF'!M39+'2023 CF'!M40</f>
        <v>161416202.79999971</v>
      </c>
    </row>
    <row r="27" spans="1:18">
      <c r="A27" s="13" t="s">
        <v>451</v>
      </c>
      <c r="B27" s="419">
        <f>SUM(C27:I27)</f>
        <v>1970966351.6700001</v>
      </c>
      <c r="C27" s="63">
        <f>'2024 CF'!M67</f>
        <v>1037404113.8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111550000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265869515</v>
      </c>
      <c r="I27" s="311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556142722.87</v>
      </c>
    </row>
    <row r="28" spans="1:18">
      <c r="B28" s="420"/>
      <c r="C28" s="63"/>
      <c r="D28" s="63"/>
      <c r="E28" s="63"/>
      <c r="F28" s="63"/>
      <c r="G28" s="63"/>
      <c r="H28" s="63"/>
      <c r="I28" s="311"/>
      <c r="K28" s="49"/>
    </row>
    <row r="29" spans="1:18" ht="12" customHeight="1">
      <c r="B29" s="421">
        <f>SUM(B22:B28)</f>
        <v>4666563983.8099995</v>
      </c>
      <c r="C29" s="422">
        <f>SUM(C22:C28)</f>
        <v>2653334400.4300003</v>
      </c>
      <c r="D29" s="423">
        <f t="shared" ref="D29:H29" si="2">SUM(D22:D28)</f>
        <v>256780803</v>
      </c>
      <c r="E29" s="423">
        <f t="shared" si="2"/>
        <v>81356160</v>
      </c>
      <c r="F29" s="423">
        <f t="shared" si="2"/>
        <v>90279961</v>
      </c>
      <c r="G29" s="423">
        <f t="shared" si="2"/>
        <v>404109922</v>
      </c>
      <c r="H29" s="423">
        <f t="shared" si="2"/>
        <v>439427336.55000001</v>
      </c>
      <c r="I29" s="424">
        <f>SUM(I22:I28)</f>
        <v>741275400.82999969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6">
      <c r="A31" s="15"/>
      <c r="B31" s="357"/>
      <c r="C31" s="357"/>
      <c r="D31" s="11"/>
      <c r="E31" s="10"/>
      <c r="F31" s="10"/>
      <c r="G31" s="355"/>
      <c r="H31" s="394"/>
      <c r="I31" s="355"/>
    </row>
    <row r="32" spans="1:18" ht="15.6">
      <c r="B32" s="357"/>
      <c r="C32" s="357"/>
      <c r="D32" s="11"/>
      <c r="E32" s="65"/>
      <c r="F32" s="398"/>
      <c r="G32" s="11"/>
      <c r="H32" s="10"/>
      <c r="I32" s="10"/>
    </row>
    <row r="33" spans="1:16" ht="15.6">
      <c r="B33" s="357"/>
      <c r="C33" s="357"/>
      <c r="D33" s="12"/>
      <c r="F33" s="398"/>
      <c r="G33" s="200"/>
      <c r="H33" s="200"/>
      <c r="I33" s="57"/>
    </row>
    <row r="34" spans="1:16" ht="15.6">
      <c r="A34" s="383" t="s">
        <v>284</v>
      </c>
      <c r="B34" s="384">
        <f>ROUND(0.017*$B$8,0)</f>
        <v>69152737</v>
      </c>
      <c r="C34" s="357"/>
      <c r="D34" s="12"/>
      <c r="E34" s="398"/>
      <c r="F34" s="398"/>
      <c r="G34" s="200"/>
      <c r="H34" s="200"/>
      <c r="I34"/>
    </row>
    <row r="35" spans="1:16" ht="15.6">
      <c r="A35" s="383" t="s">
        <v>285</v>
      </c>
      <c r="B35" s="384">
        <f>ROUND(0.034*$B$8,0)</f>
        <v>138305473</v>
      </c>
      <c r="C35" s="357"/>
      <c r="D35" s="200"/>
      <c r="E35" s="200"/>
      <c r="F35" s="200"/>
      <c r="G35" s="200"/>
      <c r="H35" s="200"/>
      <c r="I35" s="259"/>
    </row>
    <row r="36" spans="1:16" ht="15.6">
      <c r="B36" s="357"/>
      <c r="C36" s="357"/>
      <c r="D36" s="13"/>
      <c r="E36" s="13"/>
      <c r="G36"/>
      <c r="H36" s="200"/>
      <c r="I36" s="367"/>
    </row>
    <row r="37" spans="1:16" ht="15.6">
      <c r="B37" s="357"/>
      <c r="C37" s="380"/>
      <c r="D37" s="53"/>
      <c r="E37" s="53"/>
      <c r="F37" s="497"/>
      <c r="G37"/>
      <c r="H37" s="200"/>
      <c r="I37"/>
      <c r="J37" s="379"/>
      <c r="K37" s="379"/>
      <c r="L37" s="379"/>
      <c r="M37" s="379"/>
      <c r="N37" s="379"/>
      <c r="O37" s="379"/>
      <c r="P37" s="379"/>
    </row>
    <row r="38" spans="1:16" ht="15.6">
      <c r="B38" s="357"/>
      <c r="C38" s="357"/>
      <c r="D38" s="49"/>
      <c r="E38" s="95"/>
      <c r="F38" s="11"/>
      <c r="G38"/>
    </row>
    <row r="39" spans="1:16">
      <c r="B39" s="49"/>
      <c r="C39" s="95"/>
      <c r="D39" s="13"/>
      <c r="E39" s="13"/>
      <c r="F39" s="398"/>
      <c r="H39" s="10"/>
    </row>
    <row r="40" spans="1:16">
      <c r="B40" s="80"/>
      <c r="D40" s="98"/>
      <c r="E40" s="13"/>
      <c r="F40" s="398"/>
    </row>
    <row r="41" spans="1:16">
      <c r="B41" s="190"/>
      <c r="D41" s="78"/>
      <c r="E41" s="13"/>
      <c r="F41" s="398"/>
      <c r="H41" s="95"/>
    </row>
    <row r="42" spans="1:16" ht="13.2">
      <c r="B42" s="13"/>
      <c r="C42" s="99"/>
      <c r="D42" s="78"/>
      <c r="E42" s="13"/>
      <c r="F42" s="11"/>
    </row>
    <row r="43" spans="1:16" ht="13.2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ROUND(Totals!$H$8*Totals!$P$8, 0)-1</f>
        <v>22212389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38" customFormat="1">
      <c r="A7" s="538">
        <v>22</v>
      </c>
      <c r="B7" s="538">
        <v>40</v>
      </c>
      <c r="C7" s="538" t="s">
        <v>454</v>
      </c>
      <c r="D7" s="538" t="s">
        <v>43</v>
      </c>
      <c r="E7" s="538" t="s">
        <v>212</v>
      </c>
      <c r="F7" s="539" t="s">
        <v>329</v>
      </c>
      <c r="G7" s="539" t="s">
        <v>213</v>
      </c>
      <c r="H7" s="540">
        <v>0</v>
      </c>
      <c r="I7" s="540"/>
      <c r="J7" s="541"/>
      <c r="K7" s="541"/>
      <c r="L7" s="542"/>
      <c r="M7" s="541"/>
      <c r="N7" s="542"/>
      <c r="O7" s="543"/>
      <c r="P7" s="541"/>
      <c r="Q7" s="538" t="s">
        <v>209</v>
      </c>
    </row>
    <row r="8" spans="1:22" s="538" customFormat="1">
      <c r="A8" s="538">
        <v>26</v>
      </c>
      <c r="B8" s="538">
        <v>48</v>
      </c>
      <c r="C8" s="538" t="s">
        <v>455</v>
      </c>
      <c r="D8" s="538" t="s">
        <v>43</v>
      </c>
      <c r="E8" s="538" t="s">
        <v>265</v>
      </c>
      <c r="F8" s="539" t="s">
        <v>456</v>
      </c>
      <c r="G8" s="539" t="s">
        <v>211</v>
      </c>
      <c r="H8" s="540">
        <v>0</v>
      </c>
      <c r="I8" s="540"/>
      <c r="J8" s="541"/>
      <c r="K8" s="541"/>
      <c r="L8" s="542"/>
      <c r="M8" s="541"/>
      <c r="N8" s="542"/>
      <c r="O8" s="543"/>
      <c r="P8" s="541"/>
      <c r="Q8" s="538" t="s">
        <v>264</v>
      </c>
    </row>
    <row r="9" spans="1:22">
      <c r="F9" s="36"/>
      <c r="G9" s="36"/>
      <c r="H9" s="289"/>
      <c r="I9" s="289"/>
      <c r="J9" s="11"/>
      <c r="K9" s="11"/>
      <c r="L9" s="350"/>
      <c r="N9" s="350"/>
      <c r="O9" s="31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7"/>
      <c r="H18" s="35"/>
    </row>
    <row r="19" spans="1:9">
      <c r="A19" s="43"/>
      <c r="B19" s="43"/>
      <c r="C19" s="43"/>
      <c r="D19" s="43"/>
      <c r="G19" s="295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33.75" style="13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ROUND(Totals!$H$8*Totals!$P$9, 0)</f>
        <v>14082877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38" customFormat="1">
      <c r="A7" s="538">
        <v>58</v>
      </c>
      <c r="B7" s="538">
        <v>34</v>
      </c>
      <c r="C7" s="538" t="s">
        <v>457</v>
      </c>
      <c r="D7" s="538" t="s">
        <v>43</v>
      </c>
      <c r="E7" s="538" t="s">
        <v>394</v>
      </c>
      <c r="F7" s="539" t="s">
        <v>395</v>
      </c>
      <c r="G7" s="539" t="s">
        <v>148</v>
      </c>
      <c r="H7" s="544">
        <v>0</v>
      </c>
      <c r="I7" s="540"/>
      <c r="J7" s="541"/>
      <c r="K7" s="541"/>
      <c r="L7" s="540"/>
      <c r="M7" s="541"/>
      <c r="N7" s="540"/>
      <c r="O7" s="540"/>
      <c r="P7" s="541"/>
      <c r="Q7" s="538" t="s">
        <v>241</v>
      </c>
      <c r="R7" s="541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2"/>
      <c r="J13" s="138"/>
      <c r="L13" s="9"/>
      <c r="M13" s="138"/>
      <c r="Q13" s="13"/>
    </row>
    <row r="14" spans="1:22">
      <c r="D14" s="43"/>
      <c r="L14" s="405"/>
    </row>
    <row r="15" spans="1:22">
      <c r="E15" s="58"/>
      <c r="F15" s="58"/>
      <c r="G15" s="297"/>
      <c r="H15" s="35"/>
    </row>
    <row r="16" spans="1:22">
      <c r="A16" s="43"/>
      <c r="B16" s="43"/>
      <c r="C16" s="43"/>
      <c r="D16" s="43"/>
      <c r="G16" s="296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0.25" style="13" customWidth="1"/>
    <col min="6" max="6" width="31" style="13" customWidth="1"/>
    <col min="7" max="7" width="13" style="13" bestFit="1" customWidth="1"/>
    <col min="8" max="8" width="15.2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ROUND(Totals!$H$8*Totals!$P$10, 0)</f>
        <v>206311236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9</v>
      </c>
      <c r="B7" s="5">
        <v>13</v>
      </c>
      <c r="C7" s="5">
        <v>5274</v>
      </c>
      <c r="D7" s="5" t="s">
        <v>638</v>
      </c>
      <c r="E7" s="5" t="s">
        <v>466</v>
      </c>
      <c r="F7" s="26" t="s">
        <v>467</v>
      </c>
      <c r="G7" s="26" t="s">
        <v>167</v>
      </c>
      <c r="H7" s="352">
        <v>10000000</v>
      </c>
      <c r="I7" s="349">
        <v>10000000</v>
      </c>
      <c r="J7" s="6">
        <v>44205</v>
      </c>
      <c r="K7" s="6">
        <f>J7+35</f>
        <v>44240</v>
      </c>
      <c r="L7" s="349">
        <v>10000000</v>
      </c>
      <c r="M7" s="6">
        <f>J7+180</f>
        <v>44385</v>
      </c>
      <c r="N7" s="349"/>
      <c r="O7" s="349"/>
      <c r="P7" s="6"/>
      <c r="Q7" s="5" t="s">
        <v>210</v>
      </c>
      <c r="R7" s="510" t="s">
        <v>643</v>
      </c>
    </row>
    <row r="8" spans="1:22">
      <c r="A8" s="13">
        <v>29</v>
      </c>
      <c r="B8" s="13">
        <v>51</v>
      </c>
      <c r="C8" s="13" t="s">
        <v>458</v>
      </c>
      <c r="D8" s="13" t="s">
        <v>390</v>
      </c>
      <c r="E8" s="13" t="s">
        <v>266</v>
      </c>
      <c r="F8" s="36" t="s">
        <v>331</v>
      </c>
      <c r="G8" s="36" t="s">
        <v>78</v>
      </c>
      <c r="H8" s="426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639</v>
      </c>
    </row>
    <row r="9" spans="1:22">
      <c r="A9" s="13">
        <v>34</v>
      </c>
      <c r="B9" s="13">
        <v>56</v>
      </c>
      <c r="C9" s="13" t="s">
        <v>459</v>
      </c>
      <c r="D9" s="13" t="s">
        <v>390</v>
      </c>
      <c r="E9" s="13" t="s">
        <v>266</v>
      </c>
      <c r="F9" s="36" t="s">
        <v>330</v>
      </c>
      <c r="G9" s="36" t="s">
        <v>78</v>
      </c>
      <c r="H9" s="426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 ht="11.4">
      <c r="A10" s="5">
        <v>36</v>
      </c>
      <c r="B10" s="5">
        <v>58</v>
      </c>
      <c r="C10" s="5">
        <v>5291</v>
      </c>
      <c r="D10" s="5" t="s">
        <v>638</v>
      </c>
      <c r="E10" s="5" t="s">
        <v>267</v>
      </c>
      <c r="F10" s="26" t="s">
        <v>468</v>
      </c>
      <c r="G10" s="26" t="s">
        <v>215</v>
      </c>
      <c r="H10" s="352">
        <v>50000000</v>
      </c>
      <c r="I10" s="349">
        <f>H10</f>
        <v>50000000</v>
      </c>
      <c r="J10" s="6">
        <v>44209</v>
      </c>
      <c r="K10" s="6">
        <f>J10+35</f>
        <v>44244</v>
      </c>
      <c r="L10" s="349">
        <v>50000000</v>
      </c>
      <c r="M10" s="6">
        <f>J10+180</f>
        <v>44389</v>
      </c>
      <c r="N10" s="349"/>
      <c r="O10" s="349"/>
      <c r="P10" s="6"/>
      <c r="Q10" s="5" t="s">
        <v>264</v>
      </c>
      <c r="R10" s="510" t="s">
        <v>653</v>
      </c>
    </row>
    <row r="11" spans="1:22" s="5" customFormat="1" ht="11.4">
      <c r="A11" s="5">
        <v>38</v>
      </c>
      <c r="B11" s="5">
        <v>59</v>
      </c>
      <c r="C11" s="5">
        <v>5298</v>
      </c>
      <c r="D11" s="5" t="s">
        <v>638</v>
      </c>
      <c r="E11" s="5" t="s">
        <v>266</v>
      </c>
      <c r="F11" s="26" t="s">
        <v>333</v>
      </c>
      <c r="G11" s="26" t="s">
        <v>78</v>
      </c>
      <c r="H11" s="352">
        <v>35000000</v>
      </c>
      <c r="I11" s="349">
        <v>35000000</v>
      </c>
      <c r="J11" s="6">
        <v>44210</v>
      </c>
      <c r="K11" s="6">
        <f>J11+35</f>
        <v>44245</v>
      </c>
      <c r="L11" s="349">
        <v>35000000</v>
      </c>
      <c r="M11" s="6">
        <f>J11+180</f>
        <v>44390</v>
      </c>
      <c r="N11" s="349"/>
      <c r="O11" s="349"/>
      <c r="P11" s="6"/>
      <c r="Q11" s="5" t="s">
        <v>264</v>
      </c>
      <c r="R11" s="510" t="s">
        <v>656</v>
      </c>
      <c r="S11" s="381"/>
    </row>
    <row r="12" spans="1:22" s="5" customFormat="1">
      <c r="A12" s="13">
        <v>42</v>
      </c>
      <c r="B12" s="13">
        <v>64</v>
      </c>
      <c r="C12" s="13" t="s">
        <v>460</v>
      </c>
      <c r="D12" s="13" t="s">
        <v>390</v>
      </c>
      <c r="E12" s="13" t="s">
        <v>266</v>
      </c>
      <c r="F12" s="36" t="s">
        <v>469</v>
      </c>
      <c r="G12" s="36" t="s">
        <v>78</v>
      </c>
      <c r="H12" s="426">
        <v>0</v>
      </c>
      <c r="I12" s="289"/>
      <c r="J12" s="11"/>
      <c r="K12" s="11"/>
      <c r="L12" s="289"/>
      <c r="M12" s="11"/>
      <c r="N12" s="350"/>
      <c r="O12" s="350"/>
      <c r="P12" s="11"/>
      <c r="Q12" s="13" t="s">
        <v>264</v>
      </c>
      <c r="R12" s="93" t="s">
        <v>659</v>
      </c>
    </row>
    <row r="13" spans="1:22" s="5" customFormat="1" ht="11.4">
      <c r="A13" s="5">
        <v>45</v>
      </c>
      <c r="B13" s="5">
        <v>67</v>
      </c>
      <c r="C13" s="5">
        <v>5306</v>
      </c>
      <c r="D13" s="5" t="s">
        <v>638</v>
      </c>
      <c r="E13" s="5" t="s">
        <v>470</v>
      </c>
      <c r="F13" s="26" t="s">
        <v>471</v>
      </c>
      <c r="G13" s="26" t="s">
        <v>472</v>
      </c>
      <c r="H13" s="352">
        <v>30000000</v>
      </c>
      <c r="I13" s="349">
        <f>H13</f>
        <v>30000000</v>
      </c>
      <c r="J13" s="6">
        <v>44211</v>
      </c>
      <c r="K13" s="6">
        <f>J13+35</f>
        <v>44246</v>
      </c>
      <c r="L13" s="349">
        <v>30000000</v>
      </c>
      <c r="M13" s="6">
        <f>J13+180</f>
        <v>44391</v>
      </c>
      <c r="N13" s="349"/>
      <c r="O13" s="349"/>
      <c r="P13" s="6"/>
      <c r="Q13" s="5" t="s">
        <v>264</v>
      </c>
      <c r="R13" s="510" t="s">
        <v>658</v>
      </c>
    </row>
    <row r="14" spans="1:22">
      <c r="A14" s="13">
        <v>46</v>
      </c>
      <c r="B14" s="13">
        <v>68</v>
      </c>
      <c r="C14" s="13" t="s">
        <v>461</v>
      </c>
      <c r="D14" s="13" t="s">
        <v>390</v>
      </c>
      <c r="E14" s="13" t="s">
        <v>266</v>
      </c>
      <c r="F14" s="36" t="s">
        <v>473</v>
      </c>
      <c r="G14" s="36" t="s">
        <v>78</v>
      </c>
      <c r="H14" s="426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462</v>
      </c>
      <c r="D15" s="13" t="s">
        <v>390</v>
      </c>
      <c r="E15" s="13" t="s">
        <v>266</v>
      </c>
      <c r="F15" s="36" t="s">
        <v>474</v>
      </c>
      <c r="G15" s="36" t="s">
        <v>78</v>
      </c>
      <c r="H15" s="426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664</v>
      </c>
    </row>
    <row r="16" spans="1:22" s="90" customFormat="1" ht="11.4">
      <c r="A16" s="90">
        <v>59</v>
      </c>
      <c r="B16" s="90">
        <v>80</v>
      </c>
      <c r="C16" s="90">
        <v>5318</v>
      </c>
      <c r="D16" s="90" t="s">
        <v>638</v>
      </c>
      <c r="E16" s="90" t="s">
        <v>266</v>
      </c>
      <c r="F16" s="89" t="s">
        <v>475</v>
      </c>
      <c r="G16" s="89" t="s">
        <v>78</v>
      </c>
      <c r="H16" s="503">
        <v>50000000</v>
      </c>
      <c r="I16" s="499">
        <f>H16</f>
        <v>50000000</v>
      </c>
      <c r="J16" s="92">
        <v>44223</v>
      </c>
      <c r="K16" s="92">
        <f>J16+35</f>
        <v>44258</v>
      </c>
      <c r="L16" s="499">
        <v>50000000</v>
      </c>
      <c r="M16" s="92">
        <f>J16+180</f>
        <v>44403</v>
      </c>
      <c r="N16" s="499"/>
      <c r="O16" s="499"/>
      <c r="P16" s="92"/>
      <c r="Q16" s="90" t="s">
        <v>264</v>
      </c>
      <c r="R16" s="516" t="s">
        <v>680</v>
      </c>
      <c r="S16" s="517"/>
    </row>
    <row r="17" spans="1:19" s="538" customFormat="1">
      <c r="A17" s="538">
        <v>61</v>
      </c>
      <c r="B17" s="538">
        <v>82</v>
      </c>
      <c r="C17" s="538" t="s">
        <v>463</v>
      </c>
      <c r="D17" s="538" t="s">
        <v>43</v>
      </c>
      <c r="E17" s="538" t="s">
        <v>266</v>
      </c>
      <c r="F17" s="539" t="s">
        <v>476</v>
      </c>
      <c r="G17" s="539" t="s">
        <v>78</v>
      </c>
      <c r="H17" s="544">
        <v>0</v>
      </c>
      <c r="I17" s="540"/>
      <c r="J17" s="541"/>
      <c r="K17" s="541"/>
      <c r="L17" s="540"/>
      <c r="M17" s="541"/>
      <c r="N17" s="540"/>
      <c r="O17" s="540"/>
      <c r="P17" s="541"/>
      <c r="Q17" s="538" t="s">
        <v>264</v>
      </c>
      <c r="R17" s="545"/>
    </row>
    <row r="18" spans="1:19" s="538" customFormat="1">
      <c r="A18" s="538">
        <v>72</v>
      </c>
      <c r="B18" s="538">
        <v>93</v>
      </c>
      <c r="C18" s="538" t="s">
        <v>464</v>
      </c>
      <c r="D18" s="538" t="s">
        <v>43</v>
      </c>
      <c r="E18" s="538" t="s">
        <v>266</v>
      </c>
      <c r="F18" s="539" t="s">
        <v>477</v>
      </c>
      <c r="G18" s="539" t="s">
        <v>78</v>
      </c>
      <c r="H18" s="544">
        <v>0</v>
      </c>
      <c r="I18" s="540"/>
      <c r="J18" s="541"/>
      <c r="K18" s="541"/>
      <c r="L18" s="540"/>
      <c r="M18" s="541"/>
      <c r="N18" s="540"/>
      <c r="O18" s="540"/>
      <c r="P18" s="541"/>
      <c r="Q18" s="538" t="s">
        <v>264</v>
      </c>
      <c r="R18" s="545"/>
    </row>
    <row r="19" spans="1:19" s="538" customFormat="1">
      <c r="A19" s="538">
        <v>82</v>
      </c>
      <c r="B19" s="538">
        <v>102</v>
      </c>
      <c r="C19" s="538" t="s">
        <v>465</v>
      </c>
      <c r="D19" s="538" t="s">
        <v>43</v>
      </c>
      <c r="E19" s="538" t="s">
        <v>266</v>
      </c>
      <c r="F19" s="539" t="s">
        <v>478</v>
      </c>
      <c r="G19" s="539" t="s">
        <v>78</v>
      </c>
      <c r="H19" s="544">
        <v>0</v>
      </c>
      <c r="I19" s="540"/>
      <c r="J19" s="541"/>
      <c r="K19" s="541"/>
      <c r="L19" s="540"/>
      <c r="M19" s="541"/>
      <c r="N19" s="540"/>
      <c r="O19" s="540"/>
      <c r="P19" s="541"/>
      <c r="Q19" s="538" t="s">
        <v>264</v>
      </c>
      <c r="R19" s="545"/>
    </row>
    <row r="20" spans="1:19" s="538" customFormat="1">
      <c r="A20" s="538">
        <v>91</v>
      </c>
      <c r="B20" s="538">
        <v>107</v>
      </c>
      <c r="C20" s="538" t="s">
        <v>479</v>
      </c>
      <c r="D20" s="538" t="s">
        <v>43</v>
      </c>
      <c r="E20" s="538" t="s">
        <v>266</v>
      </c>
      <c r="F20" s="539" t="s">
        <v>482</v>
      </c>
      <c r="G20" s="539" t="s">
        <v>78</v>
      </c>
      <c r="H20" s="544">
        <v>0</v>
      </c>
      <c r="I20" s="540"/>
      <c r="J20" s="541"/>
      <c r="K20" s="541"/>
      <c r="L20" s="540"/>
      <c r="M20" s="541"/>
      <c r="N20" s="540"/>
      <c r="O20" s="540"/>
      <c r="P20" s="541"/>
      <c r="Q20" s="538" t="s">
        <v>272</v>
      </c>
      <c r="R20" s="541"/>
    </row>
    <row r="21" spans="1:19" s="538" customFormat="1">
      <c r="A21" s="538">
        <v>106</v>
      </c>
      <c r="B21" s="538">
        <v>114</v>
      </c>
      <c r="C21" s="538" t="s">
        <v>480</v>
      </c>
      <c r="D21" s="538" t="s">
        <v>43</v>
      </c>
      <c r="E21" s="538" t="s">
        <v>266</v>
      </c>
      <c r="F21" s="539" t="s">
        <v>483</v>
      </c>
      <c r="G21" s="539" t="s">
        <v>78</v>
      </c>
      <c r="H21" s="544">
        <v>0</v>
      </c>
      <c r="I21" s="540"/>
      <c r="J21" s="541"/>
      <c r="K21" s="541"/>
      <c r="L21" s="540"/>
      <c r="M21" s="541"/>
      <c r="N21" s="540"/>
      <c r="O21" s="540"/>
      <c r="P21" s="541"/>
      <c r="Q21" s="538" t="s">
        <v>272</v>
      </c>
      <c r="R21" s="541"/>
    </row>
    <row r="22" spans="1:19" s="538" customFormat="1">
      <c r="A22" s="538">
        <v>117</v>
      </c>
      <c r="B22" s="538">
        <v>119</v>
      </c>
      <c r="C22" s="538" t="s">
        <v>481</v>
      </c>
      <c r="D22" s="538" t="s">
        <v>43</v>
      </c>
      <c r="E22" s="538" t="s">
        <v>266</v>
      </c>
      <c r="F22" s="539" t="s">
        <v>484</v>
      </c>
      <c r="G22" s="539" t="s">
        <v>78</v>
      </c>
      <c r="H22" s="544">
        <v>0</v>
      </c>
      <c r="I22" s="540"/>
      <c r="J22" s="541"/>
      <c r="K22" s="541"/>
      <c r="L22" s="540"/>
      <c r="M22" s="541"/>
      <c r="N22" s="540"/>
      <c r="O22" s="540"/>
      <c r="P22" s="541"/>
      <c r="Q22" s="538" t="s">
        <v>272</v>
      </c>
      <c r="R22" s="541"/>
    </row>
    <row r="23" spans="1:19" s="538" customFormat="1">
      <c r="A23" s="538" t="s">
        <v>146</v>
      </c>
      <c r="B23" s="538" t="s">
        <v>146</v>
      </c>
      <c r="C23" s="538" t="s">
        <v>485</v>
      </c>
      <c r="D23" s="538" t="s">
        <v>43</v>
      </c>
      <c r="E23" s="538" t="s">
        <v>266</v>
      </c>
      <c r="F23" s="539" t="s">
        <v>330</v>
      </c>
      <c r="G23" s="539" t="s">
        <v>78</v>
      </c>
      <c r="H23" s="544">
        <v>0</v>
      </c>
      <c r="I23" s="540"/>
      <c r="J23" s="541"/>
      <c r="K23" s="541"/>
      <c r="L23" s="540"/>
      <c r="M23" s="541"/>
      <c r="N23" s="540"/>
      <c r="O23" s="540"/>
      <c r="P23" s="541"/>
      <c r="Q23" s="538" t="s">
        <v>272</v>
      </c>
      <c r="R23" s="541"/>
    </row>
    <row r="24" spans="1:19" s="5" customFormat="1" ht="11.4">
      <c r="A24" s="5" t="s">
        <v>146</v>
      </c>
      <c r="B24" s="5" t="s">
        <v>146</v>
      </c>
      <c r="C24" s="5">
        <v>5317</v>
      </c>
      <c r="D24" s="5" t="s">
        <v>638</v>
      </c>
      <c r="E24" s="5" t="s">
        <v>97</v>
      </c>
      <c r="F24" s="26" t="s">
        <v>662</v>
      </c>
      <c r="G24" s="26" t="s">
        <v>95</v>
      </c>
      <c r="H24" s="352">
        <v>25000000</v>
      </c>
      <c r="I24" s="349">
        <f>H24</f>
        <v>25000000</v>
      </c>
      <c r="J24" s="6">
        <v>44223</v>
      </c>
      <c r="K24" s="6">
        <f>J24+35</f>
        <v>44258</v>
      </c>
      <c r="L24" s="349">
        <v>25000000</v>
      </c>
      <c r="M24" s="6">
        <f>J24+180</f>
        <v>44403</v>
      </c>
      <c r="N24" s="349"/>
      <c r="O24" s="349"/>
      <c r="P24" s="6"/>
      <c r="Q24" s="5" t="s">
        <v>264</v>
      </c>
      <c r="R24" s="510" t="s">
        <v>677</v>
      </c>
      <c r="S24" s="381" t="s">
        <v>679</v>
      </c>
    </row>
    <row r="25" spans="1:19" s="538" customFormat="1">
      <c r="A25" s="538" t="s">
        <v>146</v>
      </c>
      <c r="B25" s="538" t="s">
        <v>146</v>
      </c>
      <c r="C25" s="538" t="s">
        <v>673</v>
      </c>
      <c r="D25" s="538" t="s">
        <v>43</v>
      </c>
      <c r="E25" s="538" t="s">
        <v>266</v>
      </c>
      <c r="F25" s="539" t="s">
        <v>674</v>
      </c>
      <c r="G25" s="539" t="s">
        <v>78</v>
      </c>
      <c r="H25" s="544">
        <v>0</v>
      </c>
      <c r="I25" s="540"/>
      <c r="J25" s="541"/>
      <c r="K25" s="541"/>
      <c r="L25" s="540"/>
      <c r="M25" s="541"/>
      <c r="N25" s="540"/>
      <c r="O25" s="540"/>
      <c r="P25" s="541"/>
      <c r="Q25" s="538" t="s">
        <v>272</v>
      </c>
      <c r="R25" s="545"/>
    </row>
    <row r="26" spans="1:19" s="538" customFormat="1">
      <c r="A26" s="538" t="s">
        <v>146</v>
      </c>
      <c r="B26" s="538" t="s">
        <v>146</v>
      </c>
      <c r="C26" s="538" t="s">
        <v>675</v>
      </c>
      <c r="D26" s="538" t="s">
        <v>43</v>
      </c>
      <c r="E26" s="538" t="s">
        <v>266</v>
      </c>
      <c r="F26" s="539" t="s">
        <v>469</v>
      </c>
      <c r="G26" s="539" t="s">
        <v>78</v>
      </c>
      <c r="H26" s="544">
        <v>0</v>
      </c>
      <c r="I26" s="540"/>
      <c r="J26" s="541"/>
      <c r="K26" s="541"/>
      <c r="L26" s="540"/>
      <c r="M26" s="541"/>
      <c r="N26" s="540"/>
      <c r="O26" s="540"/>
      <c r="P26" s="541"/>
      <c r="Q26" s="538" t="s">
        <v>272</v>
      </c>
      <c r="R26" s="545"/>
    </row>
    <row r="27" spans="1:19">
      <c r="F27" s="36"/>
      <c r="G27" s="36"/>
      <c r="H27" s="426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200000000</v>
      </c>
      <c r="I28" s="263">
        <f>SUM(I7:I27)</f>
        <v>200000000</v>
      </c>
      <c r="J28" s="10"/>
      <c r="K28" s="10"/>
      <c r="L28" s="263">
        <f>SUM(L7:L27)</f>
        <v>200000000</v>
      </c>
      <c r="M28" s="10"/>
      <c r="N28" s="263">
        <f>SUM(N7:N27)</f>
        <v>0</v>
      </c>
      <c r="O28" s="263">
        <f>SUM(O7:O27)</f>
        <v>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31311236</v>
      </c>
      <c r="I32" s="292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4"/>
      <c r="N33" s="366"/>
    </row>
    <row r="34" spans="1:14">
      <c r="D34" s="43"/>
      <c r="F34" s="58"/>
      <c r="H34" s="27"/>
      <c r="I34" s="97"/>
      <c r="N34" s="366"/>
    </row>
    <row r="35" spans="1:14">
      <c r="D35" s="43"/>
      <c r="F35" s="58"/>
      <c r="H35" s="27"/>
      <c r="I35" s="97"/>
      <c r="L35" s="405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0">
        <v>25000000</v>
      </c>
      <c r="H37" s="288" t="s">
        <v>678</v>
      </c>
      <c r="I37" s="306"/>
      <c r="N37" s="12"/>
    </row>
    <row r="38" spans="1:14">
      <c r="E38" s="43"/>
      <c r="F38" s="43"/>
      <c r="G38" s="298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7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9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ROUND(Totals!$H$8*Totals!$P$11, 0)</f>
        <v>29492488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38" customFormat="1">
      <c r="A7" s="538">
        <v>112</v>
      </c>
      <c r="B7" s="538">
        <v>42</v>
      </c>
      <c r="C7" s="538" t="s">
        <v>486</v>
      </c>
      <c r="D7" s="538" t="s">
        <v>43</v>
      </c>
      <c r="E7" s="538" t="s">
        <v>416</v>
      </c>
      <c r="F7" s="539" t="s">
        <v>487</v>
      </c>
      <c r="G7" s="539" t="s">
        <v>349</v>
      </c>
      <c r="H7" s="540">
        <v>0</v>
      </c>
      <c r="I7" s="546"/>
      <c r="J7" s="541"/>
      <c r="K7" s="541"/>
      <c r="L7" s="546"/>
      <c r="M7" s="541"/>
      <c r="N7" s="540"/>
      <c r="O7" s="543"/>
      <c r="P7" s="541"/>
      <c r="Q7" s="538" t="s">
        <v>242</v>
      </c>
      <c r="R7" s="547"/>
    </row>
    <row r="8" spans="1:22">
      <c r="F8" s="36"/>
      <c r="G8" s="36"/>
      <c r="H8" s="289"/>
      <c r="I8" s="289"/>
      <c r="J8" s="11"/>
      <c r="K8" s="11"/>
      <c r="L8" s="289"/>
      <c r="M8" s="11"/>
      <c r="N8" s="350"/>
      <c r="O8" s="361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2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299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ROUND(Totals!$H$8*Totals!$P$12, 0)</f>
        <v>19712258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90" customFormat="1" ht="11.4">
      <c r="A7" s="90">
        <v>6</v>
      </c>
      <c r="B7" s="90">
        <v>6</v>
      </c>
      <c r="C7" s="90">
        <v>5275</v>
      </c>
      <c r="D7" s="90" t="s">
        <v>638</v>
      </c>
      <c r="E7" s="90" t="s">
        <v>489</v>
      </c>
      <c r="F7" s="89" t="s">
        <v>490</v>
      </c>
      <c r="G7" s="89" t="s">
        <v>491</v>
      </c>
      <c r="H7" s="499">
        <v>10000000</v>
      </c>
      <c r="I7" s="499">
        <v>10000000</v>
      </c>
      <c r="J7" s="92">
        <v>44205</v>
      </c>
      <c r="K7" s="92">
        <f>J7+35</f>
        <v>44240</v>
      </c>
      <c r="L7" s="499">
        <v>10000000</v>
      </c>
      <c r="M7" s="92">
        <f>J7+180</f>
        <v>44385</v>
      </c>
      <c r="N7" s="511"/>
      <c r="O7" s="512"/>
      <c r="P7" s="92"/>
      <c r="Q7" s="90" t="s">
        <v>209</v>
      </c>
      <c r="R7" s="513" t="s">
        <v>643</v>
      </c>
    </row>
    <row r="8" spans="1:22" s="538" customFormat="1">
      <c r="A8" s="538">
        <v>37</v>
      </c>
      <c r="B8" s="538">
        <v>8</v>
      </c>
      <c r="C8" s="538" t="s">
        <v>488</v>
      </c>
      <c r="D8" s="538" t="s">
        <v>43</v>
      </c>
      <c r="E8" s="538" t="s">
        <v>489</v>
      </c>
      <c r="F8" s="539" t="s">
        <v>492</v>
      </c>
      <c r="G8" s="539" t="s">
        <v>491</v>
      </c>
      <c r="H8" s="540">
        <v>0</v>
      </c>
      <c r="I8" s="540"/>
      <c r="J8" s="541"/>
      <c r="K8" s="541"/>
      <c r="L8" s="542"/>
      <c r="M8" s="541"/>
      <c r="N8" s="542"/>
      <c r="O8" s="543"/>
      <c r="P8" s="541"/>
      <c r="Q8" s="538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10000000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2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9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3.7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ROUND(Totals!$H$8*Totals!$P$13, 0)</f>
        <v>187137950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5273</v>
      </c>
      <c r="D7" s="13" t="s">
        <v>391</v>
      </c>
      <c r="E7" s="13" t="s">
        <v>218</v>
      </c>
      <c r="F7" s="36" t="s">
        <v>493</v>
      </c>
      <c r="G7" s="36" t="s">
        <v>80</v>
      </c>
      <c r="H7" s="289">
        <v>6500000</v>
      </c>
      <c r="I7" s="289">
        <f>H7</f>
        <v>6500000</v>
      </c>
      <c r="J7" s="11">
        <v>44203</v>
      </c>
      <c r="K7" s="11">
        <f t="shared" ref="K7:K12" si="0">J7+35</f>
        <v>44238</v>
      </c>
      <c r="L7" s="289">
        <v>6500000</v>
      </c>
      <c r="M7" s="11">
        <f>J7+180</f>
        <v>44383</v>
      </c>
      <c r="N7" s="289">
        <v>6500000</v>
      </c>
      <c r="O7" s="289">
        <f>L7-N7</f>
        <v>0</v>
      </c>
      <c r="P7" s="11">
        <v>44286</v>
      </c>
      <c r="Q7" s="13">
        <v>0</v>
      </c>
      <c r="R7" s="446" t="s">
        <v>640</v>
      </c>
      <c r="S7" s="475"/>
    </row>
    <row r="8" spans="1:22" s="5" customFormat="1" ht="11.4">
      <c r="A8" s="5">
        <v>5</v>
      </c>
      <c r="B8" s="5">
        <v>5</v>
      </c>
      <c r="C8" s="5">
        <v>5283</v>
      </c>
      <c r="D8" s="5" t="s">
        <v>638</v>
      </c>
      <c r="E8" s="5" t="s">
        <v>268</v>
      </c>
      <c r="F8" s="26" t="s">
        <v>335</v>
      </c>
      <c r="G8" s="26" t="s">
        <v>336</v>
      </c>
      <c r="H8" s="349">
        <v>22500000</v>
      </c>
      <c r="I8" s="349">
        <f>H8</f>
        <v>22500000</v>
      </c>
      <c r="J8" s="6">
        <v>44208</v>
      </c>
      <c r="K8" s="6">
        <f t="shared" si="0"/>
        <v>44243</v>
      </c>
      <c r="L8" s="349">
        <v>22500000</v>
      </c>
      <c r="M8" s="6">
        <f t="shared" ref="M8:M12" si="1">J8+180</f>
        <v>44388</v>
      </c>
      <c r="N8" s="349"/>
      <c r="O8" s="349"/>
      <c r="P8" s="6"/>
      <c r="Q8" s="5" t="s">
        <v>209</v>
      </c>
      <c r="R8" s="510" t="s">
        <v>644</v>
      </c>
    </row>
    <row r="9" spans="1:22" s="5" customFormat="1" ht="11.4">
      <c r="A9" s="5">
        <v>8</v>
      </c>
      <c r="B9" s="5">
        <v>11</v>
      </c>
      <c r="C9" s="5">
        <v>5292</v>
      </c>
      <c r="D9" s="5" t="s">
        <v>638</v>
      </c>
      <c r="E9" s="5" t="s">
        <v>218</v>
      </c>
      <c r="F9" s="26" t="s">
        <v>494</v>
      </c>
      <c r="G9" s="26" t="s">
        <v>80</v>
      </c>
      <c r="H9" s="349">
        <v>28000000</v>
      </c>
      <c r="I9" s="349">
        <f>H9</f>
        <v>28000000</v>
      </c>
      <c r="J9" s="6">
        <v>44209</v>
      </c>
      <c r="K9" s="6">
        <f t="shared" si="0"/>
        <v>44244</v>
      </c>
      <c r="L9" s="349">
        <v>28000000</v>
      </c>
      <c r="M9" s="6">
        <f t="shared" si="1"/>
        <v>44389</v>
      </c>
      <c r="N9" s="349"/>
      <c r="O9" s="349"/>
      <c r="P9" s="6"/>
      <c r="Q9" s="5" t="s">
        <v>209</v>
      </c>
      <c r="R9" s="510" t="s">
        <v>653</v>
      </c>
    </row>
    <row r="10" spans="1:22" s="5" customFormat="1" ht="11.4">
      <c r="A10" s="5">
        <v>17</v>
      </c>
      <c r="B10" s="5">
        <v>32</v>
      </c>
      <c r="C10" s="5">
        <v>5299</v>
      </c>
      <c r="D10" s="5" t="s">
        <v>638</v>
      </c>
      <c r="E10" s="5" t="s">
        <v>269</v>
      </c>
      <c r="F10" s="26" t="s">
        <v>495</v>
      </c>
      <c r="G10" s="26" t="s">
        <v>496</v>
      </c>
      <c r="H10" s="349">
        <v>50000000</v>
      </c>
      <c r="I10" s="349">
        <f>H10</f>
        <v>50000000</v>
      </c>
      <c r="J10" s="6">
        <v>44210</v>
      </c>
      <c r="K10" s="6">
        <f t="shared" si="0"/>
        <v>44245</v>
      </c>
      <c r="L10" s="349">
        <v>50000000</v>
      </c>
      <c r="M10" s="6">
        <f t="shared" si="1"/>
        <v>44390</v>
      </c>
      <c r="N10" s="349"/>
      <c r="O10" s="349"/>
      <c r="P10" s="6"/>
      <c r="Q10" s="5" t="s">
        <v>216</v>
      </c>
      <c r="R10" s="510" t="s">
        <v>656</v>
      </c>
    </row>
    <row r="11" spans="1:22" s="5" customFormat="1" ht="11.4">
      <c r="A11" s="5">
        <v>20</v>
      </c>
      <c r="B11" s="5">
        <v>37</v>
      </c>
      <c r="C11" s="5">
        <v>5307</v>
      </c>
      <c r="D11" s="5" t="s">
        <v>638</v>
      </c>
      <c r="E11" s="5" t="s">
        <v>268</v>
      </c>
      <c r="F11" s="26" t="s">
        <v>497</v>
      </c>
      <c r="G11" s="26" t="s">
        <v>336</v>
      </c>
      <c r="H11" s="349">
        <v>20000000</v>
      </c>
      <c r="I11" s="349">
        <v>20000000</v>
      </c>
      <c r="J11" s="6">
        <v>44211</v>
      </c>
      <c r="K11" s="6">
        <f t="shared" si="0"/>
        <v>44246</v>
      </c>
      <c r="L11" s="349">
        <v>20000000</v>
      </c>
      <c r="M11" s="6">
        <f t="shared" si="1"/>
        <v>44391</v>
      </c>
      <c r="N11" s="349"/>
      <c r="O11" s="349"/>
      <c r="P11" s="6"/>
      <c r="Q11" s="5" t="s">
        <v>216</v>
      </c>
      <c r="R11" s="510" t="s">
        <v>658</v>
      </c>
      <c r="S11" s="381"/>
    </row>
    <row r="12" spans="1:22" s="5" customFormat="1" ht="11.4">
      <c r="A12" s="5">
        <v>21</v>
      </c>
      <c r="B12" s="5">
        <v>39</v>
      </c>
      <c r="C12" s="5">
        <v>5308</v>
      </c>
      <c r="D12" s="5" t="s">
        <v>638</v>
      </c>
      <c r="E12" s="5" t="s">
        <v>269</v>
      </c>
      <c r="F12" s="26" t="s">
        <v>498</v>
      </c>
      <c r="G12" s="26" t="s">
        <v>499</v>
      </c>
      <c r="H12" s="349">
        <v>50000000</v>
      </c>
      <c r="I12" s="349">
        <v>50000000</v>
      </c>
      <c r="J12" s="6">
        <v>44211</v>
      </c>
      <c r="K12" s="6">
        <f t="shared" si="0"/>
        <v>44246</v>
      </c>
      <c r="L12" s="349">
        <v>45000000</v>
      </c>
      <c r="M12" s="6">
        <f t="shared" si="1"/>
        <v>44391</v>
      </c>
      <c r="N12" s="349"/>
      <c r="O12" s="349">
        <f>I12-L12</f>
        <v>5000000</v>
      </c>
      <c r="P12" s="6">
        <v>44247</v>
      </c>
      <c r="Q12" s="5" t="s">
        <v>216</v>
      </c>
      <c r="R12" s="510" t="s">
        <v>658</v>
      </c>
      <c r="S12" s="381"/>
    </row>
    <row r="13" spans="1:22">
      <c r="A13" s="13">
        <v>40</v>
      </c>
      <c r="B13" s="13">
        <v>61</v>
      </c>
      <c r="C13" s="13" t="s">
        <v>500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 ht="11.4">
      <c r="A14" s="5">
        <v>43</v>
      </c>
      <c r="B14" s="5">
        <v>65</v>
      </c>
      <c r="C14" s="5">
        <v>5322</v>
      </c>
      <c r="D14" s="5" t="s">
        <v>638</v>
      </c>
      <c r="E14" s="5" t="s">
        <v>269</v>
      </c>
      <c r="F14" s="26" t="s">
        <v>337</v>
      </c>
      <c r="G14" s="26" t="s">
        <v>338</v>
      </c>
      <c r="H14" s="349">
        <v>35000000</v>
      </c>
      <c r="I14" s="349">
        <f>H14</f>
        <v>35000000</v>
      </c>
      <c r="J14" s="6">
        <v>44247</v>
      </c>
      <c r="K14" s="6">
        <f>J14+35</f>
        <v>44282</v>
      </c>
      <c r="L14" s="349">
        <v>35000000</v>
      </c>
      <c r="M14" s="6">
        <f>J14+180</f>
        <v>44427</v>
      </c>
      <c r="N14" s="349"/>
      <c r="O14" s="349"/>
      <c r="P14" s="6"/>
      <c r="Q14" s="5" t="s">
        <v>264</v>
      </c>
      <c r="R14" s="535" t="s">
        <v>692</v>
      </c>
      <c r="S14" s="381" t="s">
        <v>690</v>
      </c>
    </row>
    <row r="15" spans="1:22" s="90" customFormat="1" ht="11.4">
      <c r="A15" s="90">
        <v>51</v>
      </c>
      <c r="B15" s="90">
        <v>74</v>
      </c>
      <c r="C15" s="90">
        <v>5323</v>
      </c>
      <c r="D15" s="90" t="s">
        <v>638</v>
      </c>
      <c r="E15" s="90" t="s">
        <v>269</v>
      </c>
      <c r="F15" s="89" t="s">
        <v>506</v>
      </c>
      <c r="G15" s="89" t="s">
        <v>507</v>
      </c>
      <c r="H15" s="499">
        <v>50000000</v>
      </c>
      <c r="I15" s="499">
        <f>H15</f>
        <v>50000000</v>
      </c>
      <c r="J15" s="92">
        <v>44247</v>
      </c>
      <c r="K15" s="92">
        <f>J15+35</f>
        <v>44282</v>
      </c>
      <c r="L15" s="499">
        <v>50000000</v>
      </c>
      <c r="M15" s="92">
        <f>J15+180</f>
        <v>44427</v>
      </c>
      <c r="N15" s="499"/>
      <c r="O15" s="499"/>
      <c r="P15" s="92"/>
      <c r="Q15" s="90" t="s">
        <v>264</v>
      </c>
      <c r="R15" s="536" t="s">
        <v>692</v>
      </c>
      <c r="S15" s="517" t="s">
        <v>691</v>
      </c>
    </row>
    <row r="16" spans="1:22" s="538" customFormat="1">
      <c r="A16" s="538">
        <v>53</v>
      </c>
      <c r="B16" s="538">
        <v>76</v>
      </c>
      <c r="C16" s="538" t="s">
        <v>501</v>
      </c>
      <c r="D16" s="538" t="s">
        <v>43</v>
      </c>
      <c r="E16" s="538" t="s">
        <v>268</v>
      </c>
      <c r="F16" s="539" t="s">
        <v>418</v>
      </c>
      <c r="G16" s="539" t="s">
        <v>419</v>
      </c>
      <c r="H16" s="540">
        <v>0</v>
      </c>
      <c r="I16" s="540"/>
      <c r="J16" s="541"/>
      <c r="K16" s="541"/>
      <c r="L16" s="542"/>
      <c r="M16" s="541"/>
      <c r="N16" s="540"/>
      <c r="O16" s="540"/>
      <c r="P16" s="541"/>
      <c r="Q16" s="538" t="s">
        <v>264</v>
      </c>
      <c r="R16" s="548"/>
    </row>
    <row r="17" spans="1:19" s="538" customFormat="1">
      <c r="A17" s="538">
        <v>69</v>
      </c>
      <c r="B17" s="538">
        <v>91</v>
      </c>
      <c r="C17" s="538" t="s">
        <v>502</v>
      </c>
      <c r="D17" s="538" t="s">
        <v>43</v>
      </c>
      <c r="E17" s="538" t="s">
        <v>269</v>
      </c>
      <c r="F17" s="539" t="s">
        <v>508</v>
      </c>
      <c r="G17" s="539" t="s">
        <v>80</v>
      </c>
      <c r="H17" s="540">
        <v>0</v>
      </c>
      <c r="I17" s="540"/>
      <c r="J17" s="541"/>
      <c r="K17" s="541"/>
      <c r="L17" s="540"/>
      <c r="M17" s="541"/>
      <c r="N17" s="540"/>
      <c r="O17" s="540"/>
      <c r="P17" s="541"/>
      <c r="Q17" s="538" t="s">
        <v>264</v>
      </c>
      <c r="R17" s="548"/>
    </row>
    <row r="18" spans="1:19" s="538" customFormat="1">
      <c r="A18" s="538">
        <v>77</v>
      </c>
      <c r="B18" s="538">
        <v>97</v>
      </c>
      <c r="C18" s="538" t="s">
        <v>503</v>
      </c>
      <c r="D18" s="538" t="s">
        <v>43</v>
      </c>
      <c r="E18" s="538" t="s">
        <v>268</v>
      </c>
      <c r="F18" s="539" t="s">
        <v>424</v>
      </c>
      <c r="G18" s="539" t="s">
        <v>388</v>
      </c>
      <c r="H18" s="540">
        <v>0</v>
      </c>
      <c r="I18" s="540"/>
      <c r="J18" s="541"/>
      <c r="K18" s="541"/>
      <c r="L18" s="540"/>
      <c r="M18" s="541"/>
      <c r="N18" s="540"/>
      <c r="O18" s="540"/>
      <c r="P18" s="541"/>
      <c r="Q18" s="538" t="s">
        <v>264</v>
      </c>
      <c r="R18" s="548"/>
      <c r="S18" s="549"/>
    </row>
    <row r="19" spans="1:19" s="538" customFormat="1">
      <c r="A19" s="538">
        <v>78</v>
      </c>
      <c r="B19" s="538">
        <v>98</v>
      </c>
      <c r="C19" s="538" t="s">
        <v>504</v>
      </c>
      <c r="D19" s="538" t="s">
        <v>43</v>
      </c>
      <c r="E19" s="538" t="s">
        <v>269</v>
      </c>
      <c r="F19" s="539" t="s">
        <v>509</v>
      </c>
      <c r="G19" s="539" t="s">
        <v>80</v>
      </c>
      <c r="H19" s="540">
        <v>0</v>
      </c>
      <c r="I19" s="540"/>
      <c r="J19" s="541"/>
      <c r="K19" s="541"/>
      <c r="L19" s="542"/>
      <c r="M19" s="541"/>
      <c r="N19" s="540"/>
      <c r="O19" s="540"/>
      <c r="P19" s="541"/>
      <c r="Q19" s="538" t="s">
        <v>264</v>
      </c>
      <c r="R19" s="548"/>
    </row>
    <row r="20" spans="1:19" s="538" customFormat="1">
      <c r="A20" s="538">
        <v>80</v>
      </c>
      <c r="B20" s="538">
        <v>100</v>
      </c>
      <c r="C20" s="538" t="s">
        <v>505</v>
      </c>
      <c r="D20" s="538" t="s">
        <v>43</v>
      </c>
      <c r="E20" s="538" t="s">
        <v>218</v>
      </c>
      <c r="F20" s="539" t="s">
        <v>510</v>
      </c>
      <c r="G20" s="539" t="s">
        <v>80</v>
      </c>
      <c r="H20" s="540">
        <v>0</v>
      </c>
      <c r="I20" s="540"/>
      <c r="J20" s="541"/>
      <c r="K20" s="541"/>
      <c r="L20" s="540"/>
      <c r="M20" s="541"/>
      <c r="N20" s="540"/>
      <c r="O20" s="540"/>
      <c r="P20" s="541"/>
      <c r="Q20" s="538" t="s">
        <v>264</v>
      </c>
      <c r="R20" s="548"/>
    </row>
    <row r="21" spans="1:19" s="538" customFormat="1">
      <c r="A21" s="538">
        <v>83</v>
      </c>
      <c r="B21" s="538">
        <v>104</v>
      </c>
      <c r="C21" s="538" t="s">
        <v>511</v>
      </c>
      <c r="D21" s="538" t="s">
        <v>43</v>
      </c>
      <c r="E21" s="538" t="s">
        <v>218</v>
      </c>
      <c r="F21" s="539" t="s">
        <v>514</v>
      </c>
      <c r="G21" s="539" t="s">
        <v>80</v>
      </c>
      <c r="H21" s="540">
        <v>0</v>
      </c>
      <c r="I21" s="540"/>
      <c r="J21" s="541"/>
      <c r="K21" s="541"/>
      <c r="L21" s="542"/>
      <c r="M21" s="541"/>
      <c r="N21" s="540"/>
      <c r="O21" s="540"/>
      <c r="P21" s="541"/>
      <c r="Q21" s="538" t="s">
        <v>272</v>
      </c>
    </row>
    <row r="22" spans="1:19" s="538" customFormat="1">
      <c r="A22" s="538">
        <v>100</v>
      </c>
      <c r="B22" s="538">
        <v>110</v>
      </c>
      <c r="C22" s="538" t="s">
        <v>512</v>
      </c>
      <c r="D22" s="538" t="s">
        <v>43</v>
      </c>
      <c r="E22" s="538" t="s">
        <v>269</v>
      </c>
      <c r="F22" s="539" t="s">
        <v>515</v>
      </c>
      <c r="G22" s="539" t="s">
        <v>80</v>
      </c>
      <c r="H22" s="540">
        <v>0</v>
      </c>
      <c r="I22" s="540"/>
      <c r="J22" s="541"/>
      <c r="K22" s="541"/>
      <c r="L22" s="542"/>
      <c r="M22" s="541"/>
      <c r="N22" s="540"/>
      <c r="O22" s="540"/>
      <c r="P22" s="541"/>
      <c r="Q22" s="538" t="s">
        <v>272</v>
      </c>
    </row>
    <row r="23" spans="1:19" s="538" customFormat="1">
      <c r="A23" s="538">
        <v>105</v>
      </c>
      <c r="B23" s="538">
        <v>112</v>
      </c>
      <c r="C23" s="538" t="s">
        <v>513</v>
      </c>
      <c r="D23" s="538" t="s">
        <v>43</v>
      </c>
      <c r="E23" s="538" t="s">
        <v>269</v>
      </c>
      <c r="F23" s="539" t="s">
        <v>516</v>
      </c>
      <c r="G23" s="539" t="s">
        <v>80</v>
      </c>
      <c r="H23" s="540">
        <v>0</v>
      </c>
      <c r="I23" s="540"/>
      <c r="J23" s="541"/>
      <c r="K23" s="541"/>
      <c r="L23" s="542"/>
      <c r="M23" s="541"/>
      <c r="N23" s="540"/>
      <c r="O23" s="540"/>
      <c r="P23" s="541"/>
      <c r="Q23" s="538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262000000</v>
      </c>
      <c r="I25" s="263">
        <f>SUM(I7:I24)</f>
        <v>262000000</v>
      </c>
      <c r="J25" s="10"/>
      <c r="K25" s="10"/>
      <c r="L25" s="263">
        <f>SUM(L7:L24)</f>
        <v>257000000</v>
      </c>
      <c r="M25" s="10"/>
      <c r="N25" s="263">
        <f>SUM(N7:N24)</f>
        <v>6500000</v>
      </c>
      <c r="O25" s="263">
        <f>SUM(O7:O24)</f>
        <v>5000000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+E1-I25+O25+G34</f>
        <v>15137950</v>
      </c>
      <c r="I29" s="292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688</v>
      </c>
    </row>
    <row r="33" spans="1:10">
      <c r="A33" s="5"/>
      <c r="B33" s="5"/>
      <c r="C33" s="13">
        <v>5235</v>
      </c>
      <c r="D33" s="13" t="s">
        <v>77</v>
      </c>
      <c r="E33" s="13" t="s">
        <v>269</v>
      </c>
      <c r="F33" s="13" t="s">
        <v>94</v>
      </c>
      <c r="G33" s="390">
        <v>50000000</v>
      </c>
      <c r="H33" s="442" t="s">
        <v>689</v>
      </c>
    </row>
    <row r="34" spans="1:10">
      <c r="A34" s="5"/>
      <c r="B34" s="5"/>
      <c r="C34" s="5"/>
      <c r="G34" s="444">
        <f>SUM(G32:G33)</f>
        <v>85000000</v>
      </c>
    </row>
    <row r="37" spans="1:10">
      <c r="G37" s="289"/>
      <c r="H37" s="445"/>
      <c r="J37" s="13" t="s">
        <v>7</v>
      </c>
    </row>
    <row r="38" spans="1:10">
      <c r="G38" s="289"/>
      <c r="H38" s="442"/>
    </row>
    <row r="39" spans="1:10">
      <c r="C39" s="43"/>
      <c r="D39" s="43"/>
      <c r="E39" s="148"/>
    </row>
    <row r="42" spans="1:10">
      <c r="A42" s="43"/>
      <c r="B42" s="43"/>
      <c r="C42" s="43"/>
      <c r="D42" s="43"/>
      <c r="E42" s="43"/>
      <c r="F42" s="43"/>
      <c r="G42" s="43"/>
      <c r="H42" s="43"/>
    </row>
    <row r="45" spans="1:10">
      <c r="A45" s="43"/>
      <c r="B45" s="43"/>
      <c r="C45" s="43"/>
      <c r="D45" s="43"/>
      <c r="E45" s="43"/>
      <c r="F45" s="43"/>
      <c r="G45" s="43"/>
      <c r="H45" s="43"/>
    </row>
    <row r="47" spans="1:10">
      <c r="A47" s="43"/>
      <c r="B47" s="43"/>
      <c r="C47" s="43"/>
      <c r="D47" s="43"/>
      <c r="E47" s="43"/>
      <c r="F47" s="43"/>
      <c r="G47" s="43"/>
      <c r="H47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3"/>
  <sheetViews>
    <sheetView zoomScaleNormal="100" workbookViewId="0">
      <selection activeCell="H30" sqref="H30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7.625" style="13" bestFit="1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4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ROUND(Totals!$H$8*Totals!$P$14, 0)</f>
        <v>61730230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3</v>
      </c>
      <c r="B7" s="5">
        <v>3</v>
      </c>
      <c r="C7" s="5">
        <v>5276</v>
      </c>
      <c r="D7" s="5" t="s">
        <v>638</v>
      </c>
      <c r="E7" s="5" t="s">
        <v>221</v>
      </c>
      <c r="F7" s="26" t="s">
        <v>421</v>
      </c>
      <c r="G7" s="26" t="s">
        <v>79</v>
      </c>
      <c r="H7" s="352">
        <v>8000000</v>
      </c>
      <c r="I7" s="349">
        <f>H7</f>
        <v>8000000</v>
      </c>
      <c r="J7" s="6">
        <v>44205</v>
      </c>
      <c r="K7" s="6">
        <f>J7+35</f>
        <v>44240</v>
      </c>
      <c r="L7" s="349">
        <v>8000000</v>
      </c>
      <c r="M7" s="6">
        <f>J7+180</f>
        <v>44385</v>
      </c>
      <c r="N7" s="349"/>
      <c r="O7" s="349"/>
      <c r="P7" s="6"/>
      <c r="Q7" s="5" t="s">
        <v>210</v>
      </c>
      <c r="R7" s="510" t="s">
        <v>643</v>
      </c>
    </row>
    <row r="8" spans="1:22" s="5" customFormat="1" ht="11.4">
      <c r="A8" s="5">
        <v>12</v>
      </c>
      <c r="B8" s="5">
        <v>18</v>
      </c>
      <c r="C8" s="5">
        <v>5284</v>
      </c>
      <c r="D8" s="5" t="s">
        <v>638</v>
      </c>
      <c r="E8" s="5" t="s">
        <v>221</v>
      </c>
      <c r="F8" s="26" t="s">
        <v>420</v>
      </c>
      <c r="G8" s="26" t="s">
        <v>291</v>
      </c>
      <c r="H8" s="352">
        <v>8500000</v>
      </c>
      <c r="I8" s="349">
        <f>H8</f>
        <v>8500000</v>
      </c>
      <c r="J8" s="6">
        <v>44208</v>
      </c>
      <c r="K8" s="6">
        <f>J8+35</f>
        <v>44243</v>
      </c>
      <c r="L8" s="349">
        <v>8500000</v>
      </c>
      <c r="M8" s="6">
        <f>J8+180</f>
        <v>44388</v>
      </c>
      <c r="N8" s="429"/>
      <c r="O8" s="429"/>
      <c r="P8" s="6"/>
      <c r="Q8" s="5" t="s">
        <v>210</v>
      </c>
      <c r="R8" s="510" t="s">
        <v>644</v>
      </c>
      <c r="S8" s="381"/>
    </row>
    <row r="9" spans="1:22" s="5" customFormat="1" ht="11.4">
      <c r="A9" s="5">
        <v>16</v>
      </c>
      <c r="B9" s="5">
        <v>30</v>
      </c>
      <c r="C9" s="5">
        <v>5293</v>
      </c>
      <c r="D9" s="5" t="s">
        <v>638</v>
      </c>
      <c r="E9" s="5" t="s">
        <v>98</v>
      </c>
      <c r="F9" s="26" t="s">
        <v>188</v>
      </c>
      <c r="G9" s="26" t="s">
        <v>79</v>
      </c>
      <c r="H9" s="352">
        <v>35000000</v>
      </c>
      <c r="I9" s="349">
        <f>H9</f>
        <v>35000000</v>
      </c>
      <c r="J9" s="6">
        <v>44209</v>
      </c>
      <c r="K9" s="6">
        <f>J9+35</f>
        <v>44244</v>
      </c>
      <c r="L9" s="349">
        <v>35000000</v>
      </c>
      <c r="M9" s="6">
        <f>J9+180</f>
        <v>44389</v>
      </c>
      <c r="N9" s="349"/>
      <c r="O9" s="349"/>
      <c r="P9" s="6"/>
      <c r="Q9" s="5" t="s">
        <v>209</v>
      </c>
      <c r="R9" s="510" t="s">
        <v>653</v>
      </c>
    </row>
    <row r="10" spans="1:22">
      <c r="A10" s="13">
        <v>30</v>
      </c>
      <c r="B10" s="13">
        <v>52</v>
      </c>
      <c r="C10" s="13" t="s">
        <v>517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6">
        <v>0</v>
      </c>
      <c r="I10" s="289"/>
      <c r="J10" s="11"/>
      <c r="K10" s="11"/>
      <c r="L10" s="350"/>
      <c r="M10" s="11"/>
      <c r="N10" s="289"/>
      <c r="O10" s="289"/>
      <c r="P10" s="11"/>
      <c r="Q10" s="13" t="s">
        <v>264</v>
      </c>
      <c r="R10" s="93"/>
    </row>
    <row r="11" spans="1:22" s="447" customFormat="1">
      <c r="A11" s="447">
        <v>31</v>
      </c>
      <c r="B11" s="447">
        <v>53</v>
      </c>
      <c r="C11" s="447">
        <v>5316</v>
      </c>
      <c r="D11" s="447" t="s">
        <v>390</v>
      </c>
      <c r="E11" s="447" t="s">
        <v>98</v>
      </c>
      <c r="F11" s="448" t="s">
        <v>408</v>
      </c>
      <c r="G11" s="448" t="s">
        <v>79</v>
      </c>
      <c r="H11" s="553">
        <v>40000000</v>
      </c>
      <c r="I11" s="390">
        <f>H11</f>
        <v>40000000</v>
      </c>
      <c r="J11" s="449">
        <v>44218</v>
      </c>
      <c r="K11" s="449">
        <f>J11+35</f>
        <v>44253</v>
      </c>
      <c r="L11" s="390">
        <v>40000000</v>
      </c>
      <c r="M11" s="449">
        <f>J11+180</f>
        <v>44398</v>
      </c>
      <c r="N11" s="390">
        <v>0</v>
      </c>
      <c r="O11" s="390">
        <f>L11-N11</f>
        <v>40000000</v>
      </c>
      <c r="P11" s="449">
        <v>44281</v>
      </c>
      <c r="Q11" s="447" t="s">
        <v>264</v>
      </c>
      <c r="R11" s="554" t="s">
        <v>671</v>
      </c>
      <c r="S11" s="555" t="s">
        <v>672</v>
      </c>
    </row>
    <row r="12" spans="1:22" s="538" customFormat="1">
      <c r="A12" s="538">
        <v>35</v>
      </c>
      <c r="B12" s="538">
        <v>57</v>
      </c>
      <c r="C12" s="538" t="s">
        <v>518</v>
      </c>
      <c r="D12" s="538" t="s">
        <v>43</v>
      </c>
      <c r="E12" s="538" t="s">
        <v>141</v>
      </c>
      <c r="F12" s="539" t="s">
        <v>340</v>
      </c>
      <c r="G12" s="539" t="s">
        <v>341</v>
      </c>
      <c r="H12" s="544">
        <v>0</v>
      </c>
      <c r="I12" s="540"/>
      <c r="J12" s="541"/>
      <c r="K12" s="541"/>
      <c r="L12" s="540"/>
      <c r="M12" s="541"/>
      <c r="N12" s="540"/>
      <c r="O12" s="540"/>
      <c r="P12" s="541"/>
      <c r="Q12" s="538" t="s">
        <v>264</v>
      </c>
      <c r="R12" s="541"/>
    </row>
    <row r="13" spans="1:22">
      <c r="A13" s="13">
        <v>44</v>
      </c>
      <c r="B13" s="13">
        <v>66</v>
      </c>
      <c r="C13" s="13">
        <v>5328</v>
      </c>
      <c r="D13" s="13" t="s">
        <v>390</v>
      </c>
      <c r="E13" s="13" t="s">
        <v>221</v>
      </c>
      <c r="F13" s="36" t="s">
        <v>529</v>
      </c>
      <c r="G13" s="36" t="s">
        <v>163</v>
      </c>
      <c r="H13" s="426">
        <v>42000000</v>
      </c>
      <c r="I13" s="289">
        <f>H13</f>
        <v>42000000</v>
      </c>
      <c r="J13" s="11">
        <v>44253</v>
      </c>
      <c r="K13" s="11">
        <f>J13+35</f>
        <v>44288</v>
      </c>
      <c r="L13" s="289">
        <v>42000000</v>
      </c>
      <c r="M13" s="11">
        <f>J13+180</f>
        <v>44433</v>
      </c>
      <c r="N13" s="289">
        <v>0</v>
      </c>
      <c r="O13" s="289">
        <f>L13-N13</f>
        <v>42000000</v>
      </c>
      <c r="P13" s="11">
        <v>44281</v>
      </c>
      <c r="Q13" s="13" t="s">
        <v>264</v>
      </c>
      <c r="R13" s="446" t="s">
        <v>699</v>
      </c>
      <c r="S13" s="475" t="s">
        <v>702</v>
      </c>
    </row>
    <row r="14" spans="1:22" s="538" customFormat="1">
      <c r="A14" s="538">
        <v>50</v>
      </c>
      <c r="B14" s="538">
        <v>73</v>
      </c>
      <c r="C14" s="538" t="s">
        <v>519</v>
      </c>
      <c r="D14" s="538" t="s">
        <v>43</v>
      </c>
      <c r="E14" s="538" t="s">
        <v>141</v>
      </c>
      <c r="F14" s="539" t="s">
        <v>406</v>
      </c>
      <c r="G14" s="539" t="s">
        <v>275</v>
      </c>
      <c r="H14" s="544">
        <v>0</v>
      </c>
      <c r="I14" s="540"/>
      <c r="J14" s="541"/>
      <c r="K14" s="541"/>
      <c r="L14" s="540"/>
      <c r="M14" s="541"/>
      <c r="N14" s="540"/>
      <c r="O14" s="540"/>
      <c r="P14" s="541"/>
      <c r="Q14" s="538" t="s">
        <v>264</v>
      </c>
      <c r="R14" s="541"/>
    </row>
    <row r="15" spans="1:22">
      <c r="A15" s="13">
        <v>55</v>
      </c>
      <c r="B15" s="13">
        <v>77</v>
      </c>
      <c r="C15" s="13" t="s">
        <v>520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6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521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6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700</v>
      </c>
    </row>
    <row r="17" spans="1:19" s="538" customFormat="1">
      <c r="A17" s="538">
        <v>65</v>
      </c>
      <c r="B17" s="538">
        <v>85</v>
      </c>
      <c r="C17" s="538" t="s">
        <v>522</v>
      </c>
      <c r="D17" s="538" t="s">
        <v>43</v>
      </c>
      <c r="E17" s="538" t="s">
        <v>221</v>
      </c>
      <c r="F17" s="539" t="s">
        <v>400</v>
      </c>
      <c r="G17" s="539" t="s">
        <v>79</v>
      </c>
      <c r="H17" s="544">
        <v>0</v>
      </c>
      <c r="I17" s="540"/>
      <c r="J17" s="541"/>
      <c r="K17" s="541"/>
      <c r="L17" s="540"/>
      <c r="M17" s="541"/>
      <c r="N17" s="540"/>
      <c r="O17" s="540"/>
      <c r="P17" s="541"/>
      <c r="Q17" s="538" t="s">
        <v>264</v>
      </c>
      <c r="R17" s="545" t="s">
        <v>705</v>
      </c>
    </row>
    <row r="18" spans="1:19" s="538" customFormat="1">
      <c r="A18" s="538">
        <v>70</v>
      </c>
      <c r="B18" s="538">
        <v>92</v>
      </c>
      <c r="C18" s="538" t="s">
        <v>523</v>
      </c>
      <c r="D18" s="538" t="s">
        <v>43</v>
      </c>
      <c r="E18" s="538" t="s">
        <v>141</v>
      </c>
      <c r="F18" s="539" t="s">
        <v>530</v>
      </c>
      <c r="G18" s="539" t="s">
        <v>271</v>
      </c>
      <c r="H18" s="544">
        <v>0</v>
      </c>
      <c r="I18" s="540"/>
      <c r="J18" s="541"/>
      <c r="K18" s="541"/>
      <c r="L18" s="540"/>
      <c r="M18" s="541"/>
      <c r="N18" s="540"/>
      <c r="O18" s="540"/>
      <c r="P18" s="541"/>
      <c r="Q18" s="538" t="s">
        <v>264</v>
      </c>
      <c r="R18" s="541"/>
    </row>
    <row r="19" spans="1:19">
      <c r="A19" s="13">
        <v>81</v>
      </c>
      <c r="B19" s="13">
        <v>101</v>
      </c>
      <c r="C19" s="13" t="s">
        <v>524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6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 s="538" customFormat="1">
      <c r="A20" s="538">
        <v>90</v>
      </c>
      <c r="B20" s="538">
        <v>106</v>
      </c>
      <c r="C20" s="538" t="s">
        <v>525</v>
      </c>
      <c r="D20" s="538" t="s">
        <v>43</v>
      </c>
      <c r="E20" s="538" t="s">
        <v>141</v>
      </c>
      <c r="F20" s="539" t="s">
        <v>342</v>
      </c>
      <c r="G20" s="539" t="s">
        <v>343</v>
      </c>
      <c r="H20" s="544">
        <v>0</v>
      </c>
      <c r="I20" s="540"/>
      <c r="J20" s="541"/>
      <c r="K20" s="541"/>
      <c r="L20" s="540"/>
      <c r="M20" s="541"/>
      <c r="N20" s="540"/>
      <c r="O20" s="540"/>
      <c r="P20" s="541"/>
      <c r="Q20" s="538" t="s">
        <v>272</v>
      </c>
      <c r="R20" s="541"/>
    </row>
    <row r="21" spans="1:19" s="538" customFormat="1">
      <c r="A21" s="538">
        <v>104</v>
      </c>
      <c r="B21" s="538">
        <v>111</v>
      </c>
      <c r="C21" s="538" t="s">
        <v>526</v>
      </c>
      <c r="D21" s="538" t="s">
        <v>43</v>
      </c>
      <c r="E21" s="538" t="s">
        <v>221</v>
      </c>
      <c r="F21" s="539" t="s">
        <v>531</v>
      </c>
      <c r="G21" s="539" t="s">
        <v>79</v>
      </c>
      <c r="H21" s="544">
        <v>0</v>
      </c>
      <c r="I21" s="540"/>
      <c r="J21" s="541"/>
      <c r="K21" s="541"/>
      <c r="L21" s="540"/>
      <c r="M21" s="541"/>
      <c r="N21" s="540"/>
      <c r="O21" s="540"/>
      <c r="P21" s="541"/>
      <c r="Q21" s="538" t="s">
        <v>272</v>
      </c>
      <c r="R21" s="541"/>
    </row>
    <row r="22" spans="1:19" s="5" customFormat="1" ht="11.4">
      <c r="A22" s="5">
        <v>108</v>
      </c>
      <c r="B22" s="5">
        <v>115</v>
      </c>
      <c r="C22" s="5">
        <v>5315</v>
      </c>
      <c r="D22" s="5" t="s">
        <v>638</v>
      </c>
      <c r="E22" s="5" t="s">
        <v>98</v>
      </c>
      <c r="F22" s="26" t="s">
        <v>398</v>
      </c>
      <c r="G22" s="26" t="s">
        <v>79</v>
      </c>
      <c r="H22" s="352">
        <v>40000000</v>
      </c>
      <c r="I22" s="349">
        <f>H22</f>
        <v>40000000</v>
      </c>
      <c r="J22" s="6">
        <v>44218</v>
      </c>
      <c r="K22" s="6">
        <f>J22+35</f>
        <v>44253</v>
      </c>
      <c r="L22" s="349">
        <v>40000000</v>
      </c>
      <c r="M22" s="6">
        <f>J22+180</f>
        <v>44398</v>
      </c>
      <c r="N22" s="349"/>
      <c r="O22" s="349"/>
      <c r="P22" s="6"/>
      <c r="Q22" s="5" t="s">
        <v>272</v>
      </c>
      <c r="R22" s="6"/>
      <c r="S22" s="381" t="s">
        <v>669</v>
      </c>
    </row>
    <row r="23" spans="1:19">
      <c r="A23" s="13">
        <v>109</v>
      </c>
      <c r="B23" s="13">
        <v>116</v>
      </c>
      <c r="C23" s="13" t="s">
        <v>527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6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 s="538" customFormat="1">
      <c r="A24" s="538">
        <v>115</v>
      </c>
      <c r="B24" s="538">
        <v>118</v>
      </c>
      <c r="C24" s="538" t="s">
        <v>528</v>
      </c>
      <c r="D24" s="538" t="s">
        <v>43</v>
      </c>
      <c r="E24" s="538" t="s">
        <v>141</v>
      </c>
      <c r="F24" s="539" t="s">
        <v>219</v>
      </c>
      <c r="G24" s="539" t="s">
        <v>142</v>
      </c>
      <c r="H24" s="544">
        <v>0</v>
      </c>
      <c r="I24" s="540"/>
      <c r="J24" s="541"/>
      <c r="K24" s="541"/>
      <c r="L24" s="540"/>
      <c r="M24" s="541"/>
      <c r="N24" s="540"/>
      <c r="O24" s="540"/>
      <c r="P24" s="541"/>
      <c r="Q24" s="538" t="s">
        <v>272</v>
      </c>
      <c r="R24" s="541"/>
    </row>
    <row r="25" spans="1:19">
      <c r="F25" s="36"/>
      <c r="G25" s="36"/>
      <c r="H25" s="426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173500000</v>
      </c>
      <c r="I26" s="263">
        <f>SUM(I7:I25)</f>
        <v>173500000</v>
      </c>
      <c r="J26" s="10"/>
      <c r="K26" s="10"/>
      <c r="L26" s="263">
        <f>SUM(L7:L25)</f>
        <v>173500000</v>
      </c>
      <c r="M26" s="10"/>
      <c r="N26" s="263">
        <f>SUM(N7:N25)</f>
        <v>0</v>
      </c>
      <c r="O26" s="263">
        <f>SUM(O7:O25)</f>
        <v>82000000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E1-I26+O26+G34</f>
        <v>10230230</v>
      </c>
      <c r="I30" s="292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8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2"/>
      <c r="N32" s="398"/>
    </row>
    <row r="33" spans="3:14">
      <c r="C33" s="43">
        <v>5253</v>
      </c>
      <c r="D33" s="43" t="s">
        <v>77</v>
      </c>
      <c r="E33" s="148" t="s">
        <v>98</v>
      </c>
      <c r="F33" s="148" t="s">
        <v>94</v>
      </c>
      <c r="G33" s="289">
        <v>40000000</v>
      </c>
      <c r="H33" s="288" t="s">
        <v>668</v>
      </c>
      <c r="K33" s="11"/>
      <c r="L33" s="406"/>
      <c r="N33" s="398"/>
    </row>
    <row r="34" spans="3:14">
      <c r="G34" s="300">
        <f>SUM(G33:G33)</f>
        <v>40000000</v>
      </c>
      <c r="L34" s="398"/>
    </row>
    <row r="35" spans="3:14">
      <c r="H35" s="62"/>
      <c r="I35" s="62"/>
    </row>
    <row r="36" spans="3:14">
      <c r="I36" s="34"/>
    </row>
    <row r="43" spans="3:14">
      <c r="J43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ROUND(Totals!$H$8*Totals!$P$15, 0)</f>
        <v>32166524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76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2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2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0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75" style="13" customWidth="1"/>
    <col min="6" max="6" width="26.6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7.75" style="13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ROUND(Totals!$H$8*Totals!$P$16, 0)</f>
        <v>68488667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5319</v>
      </c>
      <c r="D7" s="5" t="s">
        <v>638</v>
      </c>
      <c r="E7" s="5" t="s">
        <v>676</v>
      </c>
      <c r="F7" s="26" t="s">
        <v>610</v>
      </c>
      <c r="G7" s="26" t="s">
        <v>81</v>
      </c>
      <c r="H7" s="352">
        <v>40000000</v>
      </c>
      <c r="I7" s="349">
        <f>H7</f>
        <v>40000000</v>
      </c>
      <c r="J7" s="6">
        <v>44223</v>
      </c>
      <c r="K7" s="6">
        <f>J7+35</f>
        <v>44258</v>
      </c>
      <c r="L7" s="349">
        <v>33000000</v>
      </c>
      <c r="M7" s="6">
        <f>J7+180</f>
        <v>44403</v>
      </c>
      <c r="N7" s="349"/>
      <c r="O7" s="349">
        <f>I7-L7</f>
        <v>7000000</v>
      </c>
      <c r="P7" s="6">
        <v>44259</v>
      </c>
      <c r="Q7" s="5" t="s">
        <v>272</v>
      </c>
      <c r="R7" s="142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4"/>
      <c r="M10" s="11"/>
      <c r="N10" s="314"/>
      <c r="O10" s="314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33000000</v>
      </c>
      <c r="M11" s="10"/>
      <c r="N11" s="263">
        <f>SUM(N7:N10)</f>
        <v>0</v>
      </c>
      <c r="O11" s="263">
        <f>SUM(O7:O10)</f>
        <v>7000000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35488667</v>
      </c>
      <c r="I15" s="292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1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ROUND(Totals!$H$8*Totals!$P$17, 0)</f>
        <v>19898908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2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1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0"/>
  <sheetViews>
    <sheetView workbookViewId="0">
      <selection activeCell="F16" sqref="F16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447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 ht="12">
      <c r="A8" s="137" t="s">
        <v>633</v>
      </c>
      <c r="B8" s="1" t="s">
        <v>43</v>
      </c>
      <c r="C8" s="1" t="s">
        <v>221</v>
      </c>
      <c r="D8" s="1" t="s">
        <v>635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 ht="12">
      <c r="A9" s="137" t="s">
        <v>634</v>
      </c>
      <c r="B9" s="1" t="s">
        <v>43</v>
      </c>
      <c r="C9" s="1" t="s">
        <v>153</v>
      </c>
      <c r="D9" s="1" t="s">
        <v>428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 ht="12">
      <c r="A10" s="137"/>
      <c r="F10" s="9"/>
      <c r="G10" s="9"/>
      <c r="H10" s="3"/>
      <c r="I10" s="3"/>
      <c r="J10" s="9"/>
      <c r="L10" s="9"/>
      <c r="M10" s="9"/>
    </row>
    <row r="11" spans="1:20" ht="12">
      <c r="A11" s="31" t="s">
        <v>91</v>
      </c>
      <c r="D11" s="1"/>
      <c r="H11" s="200"/>
    </row>
    <row r="12" spans="1:20" ht="12">
      <c r="A12" s="137"/>
      <c r="B12" s="1"/>
      <c r="C12" s="1"/>
      <c r="D12" s="1"/>
      <c r="E12" s="1"/>
      <c r="F12" s="9"/>
      <c r="H12" s="200"/>
      <c r="K12" s="200"/>
    </row>
    <row r="13" spans="1:20" ht="12">
      <c r="F13" s="194">
        <f>SUM(F6:F12)</f>
        <v>100000000</v>
      </c>
      <c r="G13" s="194">
        <f>SUM(G6:G12)</f>
        <v>0</v>
      </c>
      <c r="H13" s="133"/>
      <c r="I13" s="152"/>
      <c r="J13" s="194">
        <f>SUM(J6:J12)</f>
        <v>0</v>
      </c>
      <c r="K13" s="133"/>
      <c r="L13" s="194">
        <f>SUM(L6:L12)</f>
        <v>0</v>
      </c>
      <c r="M13" s="194">
        <f>SUM(M6:M12)</f>
        <v>0</v>
      </c>
    </row>
    <row r="14" spans="1:20">
      <c r="H14" s="200"/>
      <c r="I14" s="200"/>
    </row>
    <row r="15" spans="1:20" ht="12" thickBot="1">
      <c r="G15" s="198"/>
      <c r="H15" s="200"/>
      <c r="I15" s="200"/>
    </row>
    <row r="16" spans="1:20" ht="12.6" thickBot="1">
      <c r="D16" s="196" t="s">
        <v>154</v>
      </c>
      <c r="E16" s="197"/>
      <c r="F16" s="468"/>
      <c r="H16" s="427"/>
      <c r="I16" s="200"/>
      <c r="T16" s="329"/>
    </row>
    <row r="17" spans="1:17">
      <c r="F17" s="193"/>
      <c r="H17" s="200"/>
      <c r="I17" s="200"/>
    </row>
    <row r="18" spans="1:17" ht="12" thickBot="1">
      <c r="F18" s="198"/>
    </row>
    <row r="19" spans="1:17" ht="13.2">
      <c r="A19" s="159"/>
      <c r="B19" s="159" t="s">
        <v>448</v>
      </c>
      <c r="C19" s="131"/>
      <c r="D19" s="131"/>
      <c r="E19" s="131"/>
      <c r="F19" s="181"/>
      <c r="G19" s="181"/>
      <c r="H19" s="181"/>
      <c r="I19" s="181"/>
      <c r="J19" s="181"/>
      <c r="K19" s="181"/>
      <c r="L19" s="181"/>
      <c r="M19" s="181"/>
      <c r="N19" s="281"/>
    </row>
    <row r="20" spans="1:17" ht="13.2">
      <c r="A20" s="153" t="s">
        <v>32</v>
      </c>
      <c r="B20" s="273" t="s">
        <v>37</v>
      </c>
      <c r="C20" s="274" t="s">
        <v>31</v>
      </c>
      <c r="D20" s="282" t="s">
        <v>49</v>
      </c>
      <c r="E20" s="282"/>
      <c r="F20" s="176" t="s">
        <v>84</v>
      </c>
      <c r="G20" s="176" t="s">
        <v>258</v>
      </c>
      <c r="H20" s="276" t="s">
        <v>258</v>
      </c>
      <c r="I20" s="276"/>
      <c r="J20" s="177"/>
      <c r="K20" s="276"/>
      <c r="L20" s="176" t="s">
        <v>88</v>
      </c>
      <c r="M20" s="277" t="s">
        <v>89</v>
      </c>
      <c r="N20" s="376" t="s">
        <v>22</v>
      </c>
    </row>
    <row r="21" spans="1:17" ht="13.2">
      <c r="A21" s="153" t="s">
        <v>48</v>
      </c>
      <c r="B21" s="279"/>
      <c r="C21" s="274"/>
      <c r="D21" s="282"/>
      <c r="E21" s="282"/>
      <c r="F21" s="176" t="s">
        <v>55</v>
      </c>
      <c r="G21" s="176" t="s">
        <v>55</v>
      </c>
      <c r="H21" s="276" t="s">
        <v>9</v>
      </c>
      <c r="I21" s="276"/>
      <c r="J21" s="177"/>
      <c r="K21" s="276" t="s">
        <v>18</v>
      </c>
      <c r="L21" s="176" t="s">
        <v>55</v>
      </c>
      <c r="M21" s="277" t="s">
        <v>90</v>
      </c>
      <c r="N21" s="376" t="s">
        <v>5</v>
      </c>
    </row>
    <row r="22" spans="1:17" ht="13.8" thickBot="1">
      <c r="A22" s="154" t="s">
        <v>17</v>
      </c>
      <c r="B22" s="155"/>
      <c r="C22" s="156"/>
      <c r="D22" s="158"/>
      <c r="E22" s="158"/>
      <c r="F22" s="178"/>
      <c r="G22" s="178"/>
      <c r="H22" s="179"/>
      <c r="I22" s="179"/>
      <c r="J22" s="182"/>
      <c r="K22" s="179"/>
      <c r="L22" s="178"/>
      <c r="M22" s="178"/>
      <c r="N22" s="377" t="s">
        <v>9</v>
      </c>
    </row>
    <row r="23" spans="1:17" s="1" customFormat="1" ht="12">
      <c r="A23" s="137"/>
      <c r="F23" s="9"/>
      <c r="G23" s="9"/>
      <c r="H23" s="3"/>
      <c r="J23" s="9"/>
      <c r="L23" s="9"/>
      <c r="M23" s="9"/>
      <c r="O23" s="13"/>
      <c r="P23" s="13"/>
      <c r="Q23" s="11"/>
    </row>
    <row r="24" spans="1:17" ht="12" thickBot="1"/>
    <row r="25" spans="1:17" ht="12.6" thickBot="1">
      <c r="D25" s="196" t="s">
        <v>257</v>
      </c>
      <c r="E25" s="197"/>
      <c r="F25" s="199"/>
    </row>
    <row r="26" spans="1:17">
      <c r="F26" s="328"/>
    </row>
    <row r="27" spans="1:17" ht="12" thickBot="1"/>
    <row r="28" spans="1:17" ht="13.2">
      <c r="A28" s="159"/>
      <c r="B28" s="159" t="s">
        <v>449</v>
      </c>
      <c r="C28" s="131"/>
      <c r="D28" s="131"/>
      <c r="E28" s="131"/>
      <c r="F28" s="181"/>
      <c r="G28" s="181"/>
      <c r="H28" s="181"/>
      <c r="I28" s="181"/>
      <c r="J28" s="181"/>
      <c r="K28" s="181"/>
      <c r="L28" s="181"/>
      <c r="M28" s="181"/>
      <c r="N28" s="281"/>
    </row>
    <row r="29" spans="1:17" ht="13.2">
      <c r="A29" s="153" t="s">
        <v>32</v>
      </c>
      <c r="B29" s="273" t="s">
        <v>37</v>
      </c>
      <c r="C29" s="274" t="s">
        <v>31</v>
      </c>
      <c r="D29" s="282" t="s">
        <v>49</v>
      </c>
      <c r="E29" s="282" t="s">
        <v>45</v>
      </c>
      <c r="F29" s="176" t="s">
        <v>84</v>
      </c>
      <c r="G29" s="176" t="s">
        <v>54</v>
      </c>
      <c r="H29" s="276"/>
      <c r="I29" s="276" t="s">
        <v>34</v>
      </c>
      <c r="J29" s="177" t="s">
        <v>87</v>
      </c>
      <c r="K29" s="276"/>
      <c r="L29" s="176" t="s">
        <v>92</v>
      </c>
      <c r="M29" s="277" t="s">
        <v>89</v>
      </c>
      <c r="N29" s="278" t="s">
        <v>22</v>
      </c>
    </row>
    <row r="30" spans="1:17" ht="13.2">
      <c r="A30" s="153" t="s">
        <v>48</v>
      </c>
      <c r="B30" s="279"/>
      <c r="C30" s="274"/>
      <c r="D30" s="282"/>
      <c r="E30" s="282"/>
      <c r="F30" s="176" t="s">
        <v>55</v>
      </c>
      <c r="G30" s="176" t="s">
        <v>55</v>
      </c>
      <c r="H30" s="276" t="s">
        <v>9</v>
      </c>
      <c r="I30" s="276" t="s">
        <v>18</v>
      </c>
      <c r="J30" s="177" t="s">
        <v>55</v>
      </c>
      <c r="K30" s="276" t="s">
        <v>18</v>
      </c>
      <c r="L30" s="176" t="s">
        <v>55</v>
      </c>
      <c r="M30" s="277" t="s">
        <v>90</v>
      </c>
      <c r="N30" s="278" t="s">
        <v>5</v>
      </c>
    </row>
    <row r="31" spans="1:17" ht="13.8" thickBot="1">
      <c r="A31" s="154" t="s">
        <v>17</v>
      </c>
      <c r="B31" s="155"/>
      <c r="C31" s="156"/>
      <c r="D31" s="158"/>
      <c r="E31" s="158"/>
      <c r="F31" s="178"/>
      <c r="G31" s="178"/>
      <c r="H31" s="179"/>
      <c r="I31" s="179"/>
      <c r="J31" s="182"/>
      <c r="K31" s="179"/>
      <c r="L31" s="178"/>
      <c r="M31" s="183" t="s">
        <v>93</v>
      </c>
      <c r="N31" s="280" t="s">
        <v>9</v>
      </c>
    </row>
    <row r="32" spans="1:17">
      <c r="A32" s="162" t="s">
        <v>56</v>
      </c>
    </row>
    <row r="33" spans="1:20" ht="12">
      <c r="A33" s="13"/>
      <c r="B33" s="13"/>
      <c r="C33" s="13"/>
      <c r="D33" s="13"/>
      <c r="E33" s="13"/>
      <c r="F33" s="289"/>
      <c r="G33" s="185"/>
      <c r="H33" s="185"/>
      <c r="I33" s="185"/>
      <c r="J33" s="185"/>
      <c r="K33" s="185"/>
      <c r="M33" s="204"/>
      <c r="N33" s="152"/>
    </row>
    <row r="34" spans="1:20" ht="12">
      <c r="F34" s="185"/>
      <c r="G34" s="185"/>
      <c r="H34" s="185"/>
      <c r="I34" s="185"/>
      <c r="J34" s="194">
        <f>SUM(J33:J33)</f>
        <v>0</v>
      </c>
      <c r="K34" s="416"/>
      <c r="L34" s="194">
        <f>SUM(L33:L33)</f>
        <v>0</v>
      </c>
      <c r="M34" s="194">
        <f>SUM(M33:M33)</f>
        <v>0</v>
      </c>
      <c r="N34" s="152"/>
      <c r="T34" s="329">
        <f>SUM(T33:T33)</f>
        <v>0</v>
      </c>
    </row>
    <row r="35" spans="1:20" ht="12.6" thickBot="1">
      <c r="F35" s="185"/>
      <c r="G35" s="185"/>
      <c r="H35" s="185"/>
      <c r="I35" s="185"/>
      <c r="J35" s="185"/>
      <c r="K35" s="185"/>
      <c r="N35" s="152"/>
    </row>
    <row r="36" spans="1:20" ht="12">
      <c r="A36" s="169" t="s">
        <v>94</v>
      </c>
      <c r="F36" s="185"/>
      <c r="G36" s="188"/>
      <c r="H36" s="152"/>
      <c r="I36" s="185"/>
      <c r="J36" s="185"/>
      <c r="K36" s="290"/>
      <c r="N36" s="152"/>
    </row>
    <row r="37" spans="1:20" s="186" customFormat="1" ht="12">
      <c r="A37" s="13"/>
      <c r="B37" s="13"/>
      <c r="C37" s="13"/>
      <c r="D37" s="36"/>
      <c r="E37" s="36"/>
      <c r="F37" s="289"/>
      <c r="G37" s="124"/>
      <c r="H37" s="7"/>
      <c r="I37" s="184"/>
      <c r="J37" s="124"/>
      <c r="K37" s="184"/>
      <c r="L37" s="32"/>
      <c r="M37" s="124"/>
      <c r="N37" s="184"/>
      <c r="T37" s="62"/>
    </row>
    <row r="38" spans="1:20" ht="12">
      <c r="A38" s="5"/>
      <c r="B38" s="5"/>
      <c r="C38" s="5"/>
      <c r="D38" s="26"/>
      <c r="E38" s="26"/>
      <c r="F38" s="349"/>
      <c r="G38" s="71"/>
      <c r="H38" s="3"/>
      <c r="I38" s="3"/>
      <c r="J38" s="77">
        <f>SUM(J37:J37)</f>
        <v>0</v>
      </c>
      <c r="K38" s="7"/>
      <c r="L38" s="77">
        <f>SUM(L37:L37)</f>
        <v>0</v>
      </c>
      <c r="M38" s="77">
        <f>SUM(M37:M37)</f>
        <v>0</v>
      </c>
      <c r="N38" s="152"/>
      <c r="T38" s="77">
        <f>SUM(T37:T37)</f>
        <v>0</v>
      </c>
    </row>
    <row r="39" spans="1:20" ht="12.6" thickBot="1">
      <c r="F39" s="185"/>
      <c r="G39" s="185"/>
      <c r="H39" s="185"/>
      <c r="I39" s="185"/>
      <c r="J39" s="185"/>
      <c r="K39" s="185"/>
      <c r="N39" s="152"/>
    </row>
    <row r="40" spans="1:20" ht="12">
      <c r="A40" s="169" t="s">
        <v>60</v>
      </c>
      <c r="F40" s="185"/>
      <c r="G40" s="188"/>
      <c r="H40" s="152"/>
      <c r="I40" s="185"/>
      <c r="J40" s="185"/>
      <c r="K40" s="185"/>
      <c r="N40" s="152"/>
    </row>
    <row r="41" spans="1:20" ht="12">
      <c r="N41" s="152"/>
    </row>
    <row r="42" spans="1:20" ht="12">
      <c r="I42" s="198"/>
      <c r="J42" s="346">
        <f>SUM(J41:J41)</f>
        <v>0</v>
      </c>
      <c r="K42" s="186"/>
      <c r="L42" s="77">
        <f>SUM(L41:L41)</f>
        <v>0</v>
      </c>
      <c r="M42" s="77">
        <f>SUM(M41:M41)</f>
        <v>0</v>
      </c>
      <c r="N42" s="152"/>
      <c r="T42" s="77">
        <f>SUM(T41:T41)</f>
        <v>0</v>
      </c>
    </row>
    <row r="43" spans="1:20" ht="12">
      <c r="I43" s="198"/>
      <c r="N43" s="152"/>
    </row>
    <row r="45" spans="1:20" ht="12.6" thickBot="1">
      <c r="J45" s="347">
        <f>J13+J34+J38+J42</f>
        <v>0</v>
      </c>
      <c r="M45" s="347">
        <f>M42+M38+M34+F16</f>
        <v>0</v>
      </c>
      <c r="O45" s="265"/>
      <c r="P45" s="265"/>
      <c r="Q45" s="265"/>
      <c r="R45" s="265"/>
      <c r="T45" s="345">
        <f>T42+T38+T34+T16</f>
        <v>0</v>
      </c>
    </row>
    <row r="46" spans="1:20" ht="12" thickTop="1">
      <c r="M46" s="198"/>
    </row>
    <row r="48" spans="1:20">
      <c r="H48" s="200"/>
    </row>
    <row r="49" spans="1:11">
      <c r="H49" s="200"/>
    </row>
    <row r="50" spans="1:11" ht="12">
      <c r="A50" s="13"/>
      <c r="B50" s="13"/>
      <c r="C50" s="13"/>
      <c r="D50" s="36"/>
      <c r="E50" s="36"/>
      <c r="F50" s="426"/>
      <c r="G50" s="289"/>
      <c r="H50" s="11"/>
      <c r="I50" s="11"/>
      <c r="J50" s="289"/>
      <c r="K50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875" style="13" customWidth="1"/>
    <col min="6" max="6" width="29.625" style="13" customWidth="1"/>
    <col min="7" max="7" width="12.87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ROUND(Totals!$H$8*Totals!$P$18, 0)</f>
        <v>46829688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5329</v>
      </c>
      <c r="D7" s="5" t="s">
        <v>638</v>
      </c>
      <c r="E7" s="5" t="s">
        <v>696</v>
      </c>
      <c r="F7" s="26" t="s">
        <v>697</v>
      </c>
      <c r="G7" s="26" t="s">
        <v>412</v>
      </c>
      <c r="H7" s="349">
        <v>35000000</v>
      </c>
      <c r="I7" s="349">
        <f>H7</f>
        <v>35000000</v>
      </c>
      <c r="J7" s="6">
        <v>44253</v>
      </c>
      <c r="K7" s="6">
        <f>J7+35</f>
        <v>44288</v>
      </c>
      <c r="L7" s="349">
        <v>35000000</v>
      </c>
      <c r="M7" s="6">
        <f>J7+180</f>
        <v>44433</v>
      </c>
      <c r="N7" s="349"/>
      <c r="O7" s="349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35000000</v>
      </c>
      <c r="M10" s="10"/>
      <c r="N10" s="356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2"/>
      <c r="J14" s="138"/>
      <c r="L14" s="9"/>
      <c r="M14" s="138"/>
      <c r="Q14" s="13"/>
    </row>
    <row r="16" spans="1:22">
      <c r="K16" s="11"/>
    </row>
    <row r="17" spans="7:10" s="13" customFormat="1">
      <c r="G17" s="299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8.875" style="13" customWidth="1"/>
    <col min="6" max="6" width="31.1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ROUND(Totals!$H$8*Totals!$P$19, 0)</f>
        <v>16604577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2"/>
      <c r="J13" s="138"/>
      <c r="L13" s="9"/>
      <c r="M13" s="138"/>
      <c r="Q13" s="13"/>
    </row>
    <row r="14" spans="1:22">
      <c r="I14" s="97"/>
    </row>
    <row r="16" spans="1:22">
      <c r="G16" s="29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0" style="13" customWidth="1"/>
    <col min="6" max="6" width="30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ROUND(Totals!$H$8*Totals!$P$20, 0)</f>
        <v>22791933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314"/>
      <c r="O8" s="314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2"/>
      <c r="J14" s="138"/>
      <c r="L14" s="9"/>
      <c r="M14" s="138"/>
      <c r="Q14" s="13"/>
    </row>
    <row r="16" spans="1:22">
      <c r="M16" s="11"/>
    </row>
    <row r="17" spans="7:11" s="13" customFormat="1">
      <c r="G17" s="299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24"/>
  <sheetViews>
    <sheetView zoomScaleNormal="100" workbookViewId="0">
      <pane ySplit="6" topLeftCell="A50" activePane="bottomLeft" state="frozen"/>
      <selection pane="bottomLeft" activeCell="H91" sqref="H91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375" style="76" bestFit="1" customWidth="1"/>
    <col min="9" max="9" width="14" style="1" customWidth="1"/>
    <col min="10" max="10" width="13.75" style="1" bestFit="1" customWidth="1"/>
    <col min="11" max="11" width="9.625" style="1" bestFit="1" customWidth="1"/>
    <col min="12" max="12" width="14" style="9" customWidth="1"/>
    <col min="13" max="13" width="9.625" style="1" customWidth="1"/>
    <col min="14" max="14" width="13.75" style="1" customWidth="1"/>
    <col min="15" max="15" width="13.25" style="1" customWidth="1"/>
    <col min="16" max="16" width="10.625" style="1" bestFit="1" customWidth="1"/>
    <col min="17" max="17" width="10.25" style="13" bestFit="1" customWidth="1"/>
    <col min="18" max="18" width="44.7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1"/>
      <c r="D1" s="17"/>
      <c r="E1" s="382">
        <f>Totals!I8</f>
        <v>1200003369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75" customFormat="1">
      <c r="A7" s="475">
        <v>2</v>
      </c>
      <c r="B7" s="475">
        <v>2</v>
      </c>
      <c r="C7" s="475">
        <v>5271</v>
      </c>
      <c r="D7" s="475" t="s">
        <v>390</v>
      </c>
      <c r="E7" s="475" t="s">
        <v>83</v>
      </c>
      <c r="F7" s="477" t="s">
        <v>559</v>
      </c>
      <c r="G7" s="477" t="s">
        <v>560</v>
      </c>
      <c r="H7" s="450">
        <v>100000000</v>
      </c>
      <c r="I7" s="450">
        <v>100000000</v>
      </c>
      <c r="J7" s="478">
        <v>44201</v>
      </c>
      <c r="K7" s="478">
        <f>J7+35</f>
        <v>44236</v>
      </c>
      <c r="L7" s="354">
        <v>100000000</v>
      </c>
      <c r="M7" s="478">
        <f>J7+150</f>
        <v>44351</v>
      </c>
      <c r="N7" s="354">
        <v>0</v>
      </c>
      <c r="O7" s="354">
        <f>L7-N7</f>
        <v>100000000</v>
      </c>
      <c r="P7" s="478">
        <v>44296</v>
      </c>
      <c r="Q7" s="475" t="s">
        <v>571</v>
      </c>
      <c r="R7" s="480"/>
    </row>
    <row r="8" spans="1:22" s="475" customFormat="1">
      <c r="A8" s="475">
        <v>4</v>
      </c>
      <c r="B8" s="475">
        <v>4</v>
      </c>
      <c r="C8" s="475" t="s">
        <v>532</v>
      </c>
      <c r="D8" s="475" t="s">
        <v>390</v>
      </c>
      <c r="E8" s="475" t="s">
        <v>364</v>
      </c>
      <c r="F8" s="477" t="s">
        <v>561</v>
      </c>
      <c r="G8" s="477" t="s">
        <v>152</v>
      </c>
      <c r="H8" s="450">
        <v>0</v>
      </c>
      <c r="I8" s="450"/>
      <c r="J8" s="478"/>
      <c r="K8" s="506"/>
      <c r="L8" s="354"/>
      <c r="M8" s="478"/>
      <c r="N8" s="354"/>
      <c r="O8" s="354"/>
      <c r="P8" s="478"/>
      <c r="Q8" s="475" t="s">
        <v>571</v>
      </c>
      <c r="R8" s="480"/>
    </row>
    <row r="9" spans="1:22" s="381" customFormat="1" ht="11.4">
      <c r="A9" s="381">
        <v>7</v>
      </c>
      <c r="B9" s="381">
        <v>7</v>
      </c>
      <c r="C9" s="381">
        <v>5272</v>
      </c>
      <c r="D9" s="381" t="s">
        <v>638</v>
      </c>
      <c r="E9" s="381" t="s">
        <v>83</v>
      </c>
      <c r="F9" s="504" t="s">
        <v>562</v>
      </c>
      <c r="G9" s="504" t="s">
        <v>233</v>
      </c>
      <c r="H9" s="505">
        <v>100000000</v>
      </c>
      <c r="I9" s="505">
        <v>100000000</v>
      </c>
      <c r="J9" s="506">
        <v>44201</v>
      </c>
      <c r="K9" s="506">
        <f t="shared" ref="K9" si="0">J9+35</f>
        <v>44236</v>
      </c>
      <c r="L9" s="505">
        <v>100000000</v>
      </c>
      <c r="M9" s="506">
        <f>J9+150</f>
        <v>44351</v>
      </c>
      <c r="N9" s="507"/>
      <c r="O9" s="507"/>
      <c r="P9" s="506"/>
      <c r="Q9" s="381" t="s">
        <v>571</v>
      </c>
      <c r="R9" s="508"/>
    </row>
    <row r="10" spans="1:22" s="5" customFormat="1" ht="11.4">
      <c r="A10" s="5">
        <v>10</v>
      </c>
      <c r="B10" s="5">
        <v>14</v>
      </c>
      <c r="C10" s="5">
        <v>5277</v>
      </c>
      <c r="D10" s="5" t="s">
        <v>638</v>
      </c>
      <c r="E10" s="5" t="s">
        <v>158</v>
      </c>
      <c r="F10" s="26" t="s">
        <v>563</v>
      </c>
      <c r="G10" s="26" t="s">
        <v>564</v>
      </c>
      <c r="H10" s="352">
        <v>25000000</v>
      </c>
      <c r="I10" s="352">
        <f>H10</f>
        <v>25000000</v>
      </c>
      <c r="J10" s="6">
        <v>44205</v>
      </c>
      <c r="K10" s="6">
        <f>J10+35</f>
        <v>44240</v>
      </c>
      <c r="L10" s="349">
        <v>25000000</v>
      </c>
      <c r="M10" s="6">
        <f>J10+180</f>
        <v>44385</v>
      </c>
      <c r="N10" s="349"/>
      <c r="O10" s="349"/>
      <c r="P10" s="6"/>
      <c r="Q10" s="5" t="s">
        <v>210</v>
      </c>
      <c r="R10" s="510" t="s">
        <v>643</v>
      </c>
      <c r="S10" s="381" t="s">
        <v>647</v>
      </c>
    </row>
    <row r="11" spans="1:22" s="5" customFormat="1" ht="11.4">
      <c r="A11" s="5">
        <v>11</v>
      </c>
      <c r="B11" s="5">
        <v>17</v>
      </c>
      <c r="C11" s="5">
        <v>5278</v>
      </c>
      <c r="D11" s="5" t="s">
        <v>638</v>
      </c>
      <c r="E11" s="5" t="s">
        <v>158</v>
      </c>
      <c r="F11" s="26" t="s">
        <v>565</v>
      </c>
      <c r="G11" s="26" t="s">
        <v>224</v>
      </c>
      <c r="H11" s="352">
        <v>20000000</v>
      </c>
      <c r="I11" s="352">
        <f t="shared" ref="I11:I13" si="1">H11</f>
        <v>20000000</v>
      </c>
      <c r="J11" s="6">
        <v>44205</v>
      </c>
      <c r="K11" s="6">
        <f t="shared" ref="K11:K13" si="2">J11+35</f>
        <v>44240</v>
      </c>
      <c r="L11" s="349">
        <v>20000000</v>
      </c>
      <c r="M11" s="6">
        <f t="shared" ref="M11:M13" si="3">J11+180</f>
        <v>44385</v>
      </c>
      <c r="N11" s="349"/>
      <c r="O11" s="349"/>
      <c r="P11" s="6"/>
      <c r="Q11" s="5" t="s">
        <v>210</v>
      </c>
      <c r="R11" s="510" t="s">
        <v>643</v>
      </c>
      <c r="S11" s="381"/>
    </row>
    <row r="12" spans="1:22" s="5" customFormat="1" ht="11.4">
      <c r="A12" s="5">
        <v>13</v>
      </c>
      <c r="B12" s="5">
        <v>20</v>
      </c>
      <c r="C12" s="5">
        <v>5279</v>
      </c>
      <c r="D12" s="5" t="s">
        <v>638</v>
      </c>
      <c r="E12" s="5" t="s">
        <v>161</v>
      </c>
      <c r="F12" s="26" t="s">
        <v>353</v>
      </c>
      <c r="G12" s="26" t="s">
        <v>80</v>
      </c>
      <c r="H12" s="352">
        <v>12000000</v>
      </c>
      <c r="I12" s="352">
        <f t="shared" si="1"/>
        <v>12000000</v>
      </c>
      <c r="J12" s="6">
        <v>44205</v>
      </c>
      <c r="K12" s="6">
        <f t="shared" si="2"/>
        <v>44240</v>
      </c>
      <c r="L12" s="349">
        <v>12000000</v>
      </c>
      <c r="M12" s="6">
        <f t="shared" si="3"/>
        <v>44385</v>
      </c>
      <c r="N12" s="349"/>
      <c r="O12" s="349"/>
      <c r="P12" s="6"/>
      <c r="Q12" s="5" t="s">
        <v>210</v>
      </c>
      <c r="R12" s="510" t="s">
        <v>643</v>
      </c>
      <c r="S12" s="381" t="s">
        <v>648</v>
      </c>
    </row>
    <row r="13" spans="1:22" s="13" customFormat="1">
      <c r="A13" s="13">
        <v>14</v>
      </c>
      <c r="B13" s="13">
        <v>22</v>
      </c>
      <c r="C13" s="13">
        <v>5280</v>
      </c>
      <c r="D13" s="13" t="s">
        <v>390</v>
      </c>
      <c r="E13" s="13" t="s">
        <v>158</v>
      </c>
      <c r="F13" s="36" t="s">
        <v>566</v>
      </c>
      <c r="G13" s="36" t="s">
        <v>567</v>
      </c>
      <c r="H13" s="426">
        <v>25000000</v>
      </c>
      <c r="I13" s="426">
        <f t="shared" si="1"/>
        <v>25000000</v>
      </c>
      <c r="J13" s="11">
        <v>44205</v>
      </c>
      <c r="K13" s="11">
        <f t="shared" si="2"/>
        <v>44240</v>
      </c>
      <c r="L13" s="289">
        <v>25000000</v>
      </c>
      <c r="M13" s="11">
        <f t="shared" si="3"/>
        <v>44385</v>
      </c>
      <c r="N13" s="289">
        <v>0</v>
      </c>
      <c r="O13" s="289">
        <f>L13-N13</f>
        <v>25000000</v>
      </c>
      <c r="P13" s="11">
        <v>44281</v>
      </c>
      <c r="Q13" s="13" t="s">
        <v>210</v>
      </c>
      <c r="R13" s="446" t="s">
        <v>643</v>
      </c>
    </row>
    <row r="14" spans="1:22" s="381" customFormat="1" ht="11.4">
      <c r="A14" s="381">
        <v>15</v>
      </c>
      <c r="B14" s="381">
        <v>15</v>
      </c>
      <c r="C14" s="381">
        <v>5281</v>
      </c>
      <c r="D14" s="381" t="s">
        <v>638</v>
      </c>
      <c r="E14" s="381" t="s">
        <v>83</v>
      </c>
      <c r="F14" s="504" t="s">
        <v>401</v>
      </c>
      <c r="G14" s="504" t="s">
        <v>402</v>
      </c>
      <c r="H14" s="505">
        <v>50000000</v>
      </c>
      <c r="I14" s="505">
        <f>H14</f>
        <v>50000000</v>
      </c>
      <c r="J14" s="506">
        <v>44205</v>
      </c>
      <c r="K14" s="506">
        <f>J14+35</f>
        <v>44240</v>
      </c>
      <c r="L14" s="507">
        <v>50000000</v>
      </c>
      <c r="M14" s="506">
        <f>J14+150</f>
        <v>44355</v>
      </c>
      <c r="N14" s="507"/>
      <c r="O14" s="507"/>
      <c r="P14" s="506"/>
      <c r="Q14" s="381" t="s">
        <v>571</v>
      </c>
      <c r="R14" s="508"/>
    </row>
    <row r="15" spans="1:22" s="5" customFormat="1" ht="11.4">
      <c r="A15" s="5">
        <v>18</v>
      </c>
      <c r="B15" s="5">
        <v>33</v>
      </c>
      <c r="C15" s="5">
        <v>5285</v>
      </c>
      <c r="D15" s="5" t="s">
        <v>638</v>
      </c>
      <c r="E15" s="5" t="s">
        <v>314</v>
      </c>
      <c r="F15" s="26" t="s">
        <v>568</v>
      </c>
      <c r="G15" s="26" t="s">
        <v>80</v>
      </c>
      <c r="H15" s="352">
        <v>30000000</v>
      </c>
      <c r="I15" s="349">
        <f>H15</f>
        <v>30000000</v>
      </c>
      <c r="J15" s="6">
        <v>44208</v>
      </c>
      <c r="K15" s="6">
        <f>J15+35</f>
        <v>44243</v>
      </c>
      <c r="L15" s="349">
        <v>30000000</v>
      </c>
      <c r="M15" s="6">
        <f>J15+180</f>
        <v>44388</v>
      </c>
      <c r="N15" s="349"/>
      <c r="O15" s="349"/>
      <c r="P15" s="6"/>
      <c r="Q15" s="5" t="s">
        <v>216</v>
      </c>
      <c r="R15" s="510" t="s">
        <v>644</v>
      </c>
    </row>
    <row r="16" spans="1:22" s="5" customFormat="1" ht="11.4">
      <c r="A16" s="5">
        <v>19</v>
      </c>
      <c r="B16" s="5">
        <v>36</v>
      </c>
      <c r="C16" s="5">
        <v>5286</v>
      </c>
      <c r="D16" s="5" t="s">
        <v>638</v>
      </c>
      <c r="E16" s="5" t="s">
        <v>225</v>
      </c>
      <c r="F16" s="26" t="s">
        <v>347</v>
      </c>
      <c r="G16" s="26" t="s">
        <v>348</v>
      </c>
      <c r="H16" s="352">
        <v>35000000</v>
      </c>
      <c r="I16" s="352">
        <f>H16</f>
        <v>35000000</v>
      </c>
      <c r="J16" s="6">
        <v>44208</v>
      </c>
      <c r="K16" s="6">
        <f>J16+35</f>
        <v>44243</v>
      </c>
      <c r="L16" s="349">
        <v>35000000</v>
      </c>
      <c r="M16" s="6">
        <f>J16+180</f>
        <v>44388</v>
      </c>
      <c r="N16" s="349"/>
      <c r="O16" s="349"/>
      <c r="P16" s="6"/>
      <c r="Q16" s="5" t="s">
        <v>216</v>
      </c>
      <c r="R16" s="510" t="s">
        <v>642</v>
      </c>
    </row>
    <row r="17" spans="1:19" s="13" customFormat="1">
      <c r="A17" s="13">
        <v>23</v>
      </c>
      <c r="B17" s="13">
        <v>44</v>
      </c>
      <c r="C17" s="13">
        <v>5287</v>
      </c>
      <c r="D17" s="13" t="s">
        <v>390</v>
      </c>
      <c r="E17" s="13" t="s">
        <v>276</v>
      </c>
      <c r="F17" s="36" t="s">
        <v>351</v>
      </c>
      <c r="G17" s="36" t="s">
        <v>79</v>
      </c>
      <c r="H17" s="426">
        <v>35000000</v>
      </c>
      <c r="I17" s="426">
        <f>H17</f>
        <v>35000000</v>
      </c>
      <c r="J17" s="11">
        <v>44208</v>
      </c>
      <c r="K17" s="11">
        <f>J17+35</f>
        <v>44243</v>
      </c>
      <c r="L17" s="289">
        <v>35000000</v>
      </c>
      <c r="M17" s="11">
        <f>J17+180</f>
        <v>44388</v>
      </c>
      <c r="N17" s="289">
        <v>0</v>
      </c>
      <c r="O17" s="289">
        <f>L17-N17</f>
        <v>35000000</v>
      </c>
      <c r="P17" s="11">
        <v>44307</v>
      </c>
      <c r="Q17" s="13" t="s">
        <v>209</v>
      </c>
      <c r="R17" s="446" t="s">
        <v>642</v>
      </c>
    </row>
    <row r="18" spans="1:19" s="475" customFormat="1">
      <c r="A18" s="475">
        <v>24</v>
      </c>
      <c r="B18" s="475">
        <v>24</v>
      </c>
      <c r="C18" s="475" t="s">
        <v>533</v>
      </c>
      <c r="D18" s="475" t="s">
        <v>390</v>
      </c>
      <c r="E18" s="475" t="s">
        <v>83</v>
      </c>
      <c r="F18" s="477" t="s">
        <v>350</v>
      </c>
      <c r="G18" s="477" t="s">
        <v>82</v>
      </c>
      <c r="H18" s="450">
        <v>0</v>
      </c>
      <c r="I18" s="450"/>
      <c r="J18" s="478"/>
      <c r="K18" s="478"/>
      <c r="L18" s="354"/>
      <c r="M18" s="478"/>
      <c r="N18" s="354"/>
      <c r="O18" s="354"/>
      <c r="P18" s="478"/>
      <c r="Q18" s="475" t="s">
        <v>571</v>
      </c>
      <c r="R18" s="480"/>
    </row>
    <row r="19" spans="1:19" s="5" customFormat="1" ht="11.4">
      <c r="A19" s="5">
        <v>25</v>
      </c>
      <c r="B19" s="5">
        <v>45</v>
      </c>
      <c r="C19" s="5">
        <v>5288</v>
      </c>
      <c r="D19" s="5" t="s">
        <v>638</v>
      </c>
      <c r="E19" s="5" t="s">
        <v>158</v>
      </c>
      <c r="F19" s="26" t="s">
        <v>569</v>
      </c>
      <c r="G19" s="26" t="s">
        <v>570</v>
      </c>
      <c r="H19" s="352">
        <v>12000000</v>
      </c>
      <c r="I19" s="349">
        <f>H19</f>
        <v>12000000</v>
      </c>
      <c r="J19" s="6">
        <v>44208</v>
      </c>
      <c r="K19" s="6">
        <f>J19+35</f>
        <v>44243</v>
      </c>
      <c r="L19" s="349">
        <v>12000000</v>
      </c>
      <c r="M19" s="6">
        <f>J19+180</f>
        <v>44388</v>
      </c>
      <c r="N19" s="429"/>
      <c r="O19" s="349"/>
      <c r="P19" s="6"/>
      <c r="Q19" s="5" t="s">
        <v>210</v>
      </c>
      <c r="R19" s="510" t="s">
        <v>644</v>
      </c>
    </row>
    <row r="20" spans="1:19" s="5" customFormat="1" ht="11.4">
      <c r="A20" s="5">
        <v>27</v>
      </c>
      <c r="B20" s="5">
        <v>49</v>
      </c>
      <c r="C20" s="5">
        <v>5289</v>
      </c>
      <c r="D20" s="5" t="s">
        <v>638</v>
      </c>
      <c r="E20" s="5" t="s">
        <v>314</v>
      </c>
      <c r="F20" s="26" t="s">
        <v>572</v>
      </c>
      <c r="G20" s="26" t="s">
        <v>499</v>
      </c>
      <c r="H20" s="352">
        <v>30000000</v>
      </c>
      <c r="I20" s="352">
        <f>H20</f>
        <v>30000000</v>
      </c>
      <c r="J20" s="6">
        <v>44208</v>
      </c>
      <c r="K20" s="6">
        <f>J20+35</f>
        <v>44243</v>
      </c>
      <c r="L20" s="349">
        <v>30000000</v>
      </c>
      <c r="M20" s="6">
        <f>J20+180</f>
        <v>44388</v>
      </c>
      <c r="N20" s="349"/>
      <c r="O20" s="349"/>
      <c r="P20" s="6"/>
      <c r="Q20" s="5" t="s">
        <v>264</v>
      </c>
      <c r="R20" s="510" t="s">
        <v>644</v>
      </c>
    </row>
    <row r="21" spans="1:19" s="5" customFormat="1">
      <c r="A21" s="13">
        <v>28</v>
      </c>
      <c r="B21" s="13">
        <v>50</v>
      </c>
      <c r="C21" s="13" t="s">
        <v>534</v>
      </c>
      <c r="D21" s="13" t="s">
        <v>390</v>
      </c>
      <c r="E21" s="13" t="s">
        <v>314</v>
      </c>
      <c r="F21" s="36" t="s">
        <v>573</v>
      </c>
      <c r="G21" s="36" t="s">
        <v>80</v>
      </c>
      <c r="H21" s="426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641</v>
      </c>
      <c r="S21" s="13"/>
    </row>
    <row r="22" spans="1:19" s="5" customFormat="1" ht="11.4">
      <c r="A22" s="5">
        <v>32</v>
      </c>
      <c r="B22" s="5">
        <v>54</v>
      </c>
      <c r="C22" s="5">
        <v>5294</v>
      </c>
      <c r="D22" s="5" t="s">
        <v>638</v>
      </c>
      <c r="E22" s="5" t="s">
        <v>314</v>
      </c>
      <c r="F22" s="26" t="s">
        <v>359</v>
      </c>
      <c r="G22" s="26" t="s">
        <v>80</v>
      </c>
      <c r="H22" s="352">
        <v>20000000</v>
      </c>
      <c r="I22" s="349">
        <f>H22</f>
        <v>20000000</v>
      </c>
      <c r="J22" s="6">
        <v>44209</v>
      </c>
      <c r="K22" s="6">
        <f>J22+35</f>
        <v>44244</v>
      </c>
      <c r="L22" s="349">
        <v>20000000</v>
      </c>
      <c r="M22" s="6">
        <f>J22+180</f>
        <v>44389</v>
      </c>
      <c r="N22" s="429"/>
      <c r="O22" s="349"/>
      <c r="P22" s="6"/>
      <c r="Q22" s="5" t="s">
        <v>264</v>
      </c>
      <c r="R22" s="510" t="s">
        <v>653</v>
      </c>
    </row>
    <row r="23" spans="1:19" s="13" customFormat="1">
      <c r="A23" s="13">
        <v>33</v>
      </c>
      <c r="B23" s="13">
        <v>55</v>
      </c>
      <c r="C23" s="13">
        <v>5295</v>
      </c>
      <c r="D23" s="13" t="s">
        <v>390</v>
      </c>
      <c r="E23" s="13" t="s">
        <v>314</v>
      </c>
      <c r="F23" s="36" t="s">
        <v>357</v>
      </c>
      <c r="G23" s="36" t="s">
        <v>358</v>
      </c>
      <c r="H23" s="426">
        <v>40000000</v>
      </c>
      <c r="I23" s="289">
        <f t="shared" ref="I23:I25" si="4">H23</f>
        <v>40000000</v>
      </c>
      <c r="J23" s="11">
        <v>44209</v>
      </c>
      <c r="K23" s="11">
        <f t="shared" ref="K23:K28" si="5">J23+35</f>
        <v>44244</v>
      </c>
      <c r="L23" s="289">
        <v>40000000</v>
      </c>
      <c r="M23" s="11">
        <f>J23+150</f>
        <v>44359</v>
      </c>
      <c r="N23" s="289">
        <v>0</v>
      </c>
      <c r="O23" s="289">
        <f>L23-N23</f>
        <v>40000000</v>
      </c>
      <c r="P23" s="11">
        <v>44289</v>
      </c>
      <c r="Q23" s="13" t="s">
        <v>264</v>
      </c>
      <c r="R23" s="446" t="s">
        <v>653</v>
      </c>
    </row>
    <row r="24" spans="1:19" s="5" customFormat="1" ht="11.4">
      <c r="A24" s="5">
        <v>39</v>
      </c>
      <c r="B24" s="5">
        <v>60</v>
      </c>
      <c r="C24" s="5">
        <v>5296</v>
      </c>
      <c r="D24" s="5" t="s">
        <v>638</v>
      </c>
      <c r="E24" s="5" t="s">
        <v>231</v>
      </c>
      <c r="F24" s="26" t="s">
        <v>574</v>
      </c>
      <c r="G24" s="26" t="s">
        <v>142</v>
      </c>
      <c r="H24" s="352">
        <v>40000000</v>
      </c>
      <c r="I24" s="349">
        <f t="shared" si="4"/>
        <v>40000000</v>
      </c>
      <c r="J24" s="6">
        <v>44209</v>
      </c>
      <c r="K24" s="6">
        <f t="shared" si="5"/>
        <v>44244</v>
      </c>
      <c r="L24" s="349">
        <v>40000000</v>
      </c>
      <c r="M24" s="6">
        <f t="shared" ref="M24:M28" si="6">J24+180</f>
        <v>44389</v>
      </c>
      <c r="N24" s="429"/>
      <c r="O24" s="429"/>
      <c r="P24" s="6"/>
      <c r="Q24" s="5" t="s">
        <v>264</v>
      </c>
      <c r="R24" s="510" t="s">
        <v>653</v>
      </c>
    </row>
    <row r="25" spans="1:19" s="5" customFormat="1" ht="11.4">
      <c r="A25" s="5">
        <v>41</v>
      </c>
      <c r="B25" s="5">
        <v>63</v>
      </c>
      <c r="C25" s="5">
        <v>5297</v>
      </c>
      <c r="D25" s="5" t="s">
        <v>638</v>
      </c>
      <c r="E25" s="5" t="s">
        <v>314</v>
      </c>
      <c r="F25" s="26" t="s">
        <v>368</v>
      </c>
      <c r="G25" s="26" t="s">
        <v>80</v>
      </c>
      <c r="H25" s="352">
        <v>50000000</v>
      </c>
      <c r="I25" s="349">
        <f t="shared" si="4"/>
        <v>50000000</v>
      </c>
      <c r="J25" s="6">
        <v>44209</v>
      </c>
      <c r="K25" s="6">
        <f t="shared" si="5"/>
        <v>44244</v>
      </c>
      <c r="L25" s="349">
        <v>50000000</v>
      </c>
      <c r="M25" s="6">
        <f t="shared" si="6"/>
        <v>44389</v>
      </c>
      <c r="N25" s="349"/>
      <c r="O25" s="349"/>
      <c r="P25" s="6"/>
      <c r="Q25" s="5" t="s">
        <v>264</v>
      </c>
      <c r="R25" s="510" t="s">
        <v>653</v>
      </c>
    </row>
    <row r="26" spans="1:19" s="5" customFormat="1" ht="11.4">
      <c r="A26" s="5">
        <v>48</v>
      </c>
      <c r="B26" s="5">
        <v>70</v>
      </c>
      <c r="C26" s="5">
        <v>5300</v>
      </c>
      <c r="D26" s="5" t="s">
        <v>638</v>
      </c>
      <c r="E26" s="5" t="s">
        <v>278</v>
      </c>
      <c r="F26" s="26" t="s">
        <v>575</v>
      </c>
      <c r="G26" s="26" t="s">
        <v>79</v>
      </c>
      <c r="H26" s="352">
        <v>40000000</v>
      </c>
      <c r="I26" s="352">
        <v>40000000</v>
      </c>
      <c r="J26" s="6">
        <v>44210</v>
      </c>
      <c r="K26" s="6">
        <f t="shared" si="5"/>
        <v>44245</v>
      </c>
      <c r="L26" s="349">
        <v>40000000</v>
      </c>
      <c r="M26" s="6">
        <f t="shared" si="6"/>
        <v>44390</v>
      </c>
      <c r="N26" s="349"/>
      <c r="O26" s="349"/>
      <c r="P26" s="6"/>
      <c r="Q26" s="5" t="s">
        <v>264</v>
      </c>
      <c r="R26" s="510" t="s">
        <v>656</v>
      </c>
    </row>
    <row r="27" spans="1:19" s="5" customFormat="1" ht="11.4">
      <c r="A27" s="5">
        <v>49</v>
      </c>
      <c r="B27" s="5">
        <v>72</v>
      </c>
      <c r="C27" s="5">
        <v>5301</v>
      </c>
      <c r="D27" s="5" t="s">
        <v>638</v>
      </c>
      <c r="E27" s="5" t="s">
        <v>314</v>
      </c>
      <c r="F27" s="26" t="s">
        <v>576</v>
      </c>
      <c r="G27" s="26" t="s">
        <v>80</v>
      </c>
      <c r="H27" s="352">
        <v>28000000</v>
      </c>
      <c r="I27" s="352">
        <f>H27</f>
        <v>28000000</v>
      </c>
      <c r="J27" s="6">
        <v>44210</v>
      </c>
      <c r="K27" s="6">
        <f t="shared" si="5"/>
        <v>44245</v>
      </c>
      <c r="L27" s="349">
        <v>28000000</v>
      </c>
      <c r="M27" s="6">
        <f t="shared" si="6"/>
        <v>44390</v>
      </c>
      <c r="N27" s="349"/>
      <c r="O27" s="349"/>
      <c r="P27" s="6"/>
      <c r="Q27" s="5" t="s">
        <v>264</v>
      </c>
      <c r="R27" s="510" t="s">
        <v>656</v>
      </c>
    </row>
    <row r="28" spans="1:19" s="5" customFormat="1" ht="11.4">
      <c r="A28" s="5">
        <v>52</v>
      </c>
      <c r="B28" s="5">
        <v>28</v>
      </c>
      <c r="C28" s="5">
        <v>5302</v>
      </c>
      <c r="D28" s="5" t="s">
        <v>638</v>
      </c>
      <c r="E28" s="5" t="s">
        <v>158</v>
      </c>
      <c r="F28" s="26" t="s">
        <v>577</v>
      </c>
      <c r="G28" s="26" t="s">
        <v>578</v>
      </c>
      <c r="H28" s="352">
        <v>25000000</v>
      </c>
      <c r="I28" s="349">
        <f>H28</f>
        <v>25000000</v>
      </c>
      <c r="J28" s="6">
        <v>44210</v>
      </c>
      <c r="K28" s="6">
        <f t="shared" si="5"/>
        <v>44245</v>
      </c>
      <c r="L28" s="349">
        <v>25000000</v>
      </c>
      <c r="M28" s="6">
        <f t="shared" si="6"/>
        <v>44390</v>
      </c>
      <c r="N28" s="349"/>
      <c r="O28" s="349"/>
      <c r="P28" s="6"/>
      <c r="Q28" s="5" t="s">
        <v>241</v>
      </c>
      <c r="R28" s="510" t="s">
        <v>656</v>
      </c>
      <c r="S28" s="48"/>
    </row>
    <row r="29" spans="1:19" s="13" customFormat="1">
      <c r="A29" s="13">
        <v>54</v>
      </c>
      <c r="B29" s="13">
        <v>31</v>
      </c>
      <c r="C29" s="13" t="s">
        <v>535</v>
      </c>
      <c r="D29" s="13" t="s">
        <v>390</v>
      </c>
      <c r="E29" s="13" t="s">
        <v>579</v>
      </c>
      <c r="F29" s="36" t="s">
        <v>580</v>
      </c>
      <c r="G29" s="36" t="s">
        <v>581</v>
      </c>
      <c r="H29" s="426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657</v>
      </c>
    </row>
    <row r="30" spans="1:19" s="5" customFormat="1" ht="11.4">
      <c r="A30" s="5">
        <v>56</v>
      </c>
      <c r="B30" s="5">
        <v>78</v>
      </c>
      <c r="C30" s="5">
        <v>5303</v>
      </c>
      <c r="D30" s="5" t="s">
        <v>638</v>
      </c>
      <c r="E30" s="5" t="s">
        <v>314</v>
      </c>
      <c r="F30" s="26" t="s">
        <v>363</v>
      </c>
      <c r="G30" s="26" t="s">
        <v>80</v>
      </c>
      <c r="H30" s="352">
        <v>20000000</v>
      </c>
      <c r="I30" s="352">
        <f>H30</f>
        <v>20000000</v>
      </c>
      <c r="J30" s="6">
        <v>44210</v>
      </c>
      <c r="K30" s="6">
        <f>J30+35</f>
        <v>44245</v>
      </c>
      <c r="L30" s="349">
        <v>10000000</v>
      </c>
      <c r="M30" s="6">
        <f>J30+180</f>
        <v>44390</v>
      </c>
      <c r="N30" s="349"/>
      <c r="O30" s="349">
        <f>I30-L30</f>
        <v>10000000</v>
      </c>
      <c r="P30" s="6">
        <v>44239</v>
      </c>
      <c r="Q30" s="5" t="s">
        <v>264</v>
      </c>
      <c r="R30" s="510" t="s">
        <v>656</v>
      </c>
    </row>
    <row r="31" spans="1:19" s="5" customFormat="1" ht="11.4">
      <c r="A31" s="5">
        <v>60</v>
      </c>
      <c r="B31" s="5">
        <v>81</v>
      </c>
      <c r="C31" s="5">
        <v>5304</v>
      </c>
      <c r="D31" s="5" t="s">
        <v>638</v>
      </c>
      <c r="E31" s="5" t="s">
        <v>158</v>
      </c>
      <c r="F31" s="26" t="s">
        <v>582</v>
      </c>
      <c r="G31" s="26" t="s">
        <v>214</v>
      </c>
      <c r="H31" s="352">
        <v>25000000</v>
      </c>
      <c r="I31" s="352">
        <f>H31</f>
        <v>25000000</v>
      </c>
      <c r="J31" s="6">
        <v>44210</v>
      </c>
      <c r="K31" s="6">
        <f>J31+35</f>
        <v>44245</v>
      </c>
      <c r="L31" s="349">
        <v>25000000</v>
      </c>
      <c r="M31" s="6">
        <f>J31+180</f>
        <v>44390</v>
      </c>
      <c r="N31" s="349"/>
      <c r="O31" s="349"/>
      <c r="P31" s="6"/>
      <c r="Q31" s="5" t="s">
        <v>264</v>
      </c>
      <c r="R31" s="510" t="s">
        <v>656</v>
      </c>
    </row>
    <row r="32" spans="1:19" s="381" customFormat="1" ht="11.4">
      <c r="A32" s="381">
        <v>62</v>
      </c>
      <c r="B32" s="381">
        <v>62</v>
      </c>
      <c r="C32" s="381">
        <v>5305</v>
      </c>
      <c r="D32" s="381" t="s">
        <v>638</v>
      </c>
      <c r="E32" s="381" t="s">
        <v>83</v>
      </c>
      <c r="F32" s="504" t="s">
        <v>583</v>
      </c>
      <c r="G32" s="504" t="s">
        <v>355</v>
      </c>
      <c r="H32" s="505">
        <v>50000000</v>
      </c>
      <c r="I32" s="505">
        <f>H32</f>
        <v>50000000</v>
      </c>
      <c r="J32" s="506">
        <v>44210</v>
      </c>
      <c r="K32" s="506">
        <f>J32+35</f>
        <v>44245</v>
      </c>
      <c r="L32" s="507">
        <v>50000000</v>
      </c>
      <c r="M32" s="506">
        <f>J32+150</f>
        <v>44360</v>
      </c>
      <c r="N32" s="507"/>
      <c r="O32" s="507"/>
      <c r="P32" s="506"/>
      <c r="Q32" s="381" t="s">
        <v>571</v>
      </c>
      <c r="R32" s="508"/>
    </row>
    <row r="33" spans="1:19" s="5" customFormat="1">
      <c r="A33" s="13">
        <v>63</v>
      </c>
      <c r="B33" s="13">
        <v>83</v>
      </c>
      <c r="C33" s="13" t="s">
        <v>536</v>
      </c>
      <c r="D33" s="13" t="s">
        <v>390</v>
      </c>
      <c r="E33" s="13" t="s">
        <v>584</v>
      </c>
      <c r="F33" s="36" t="s">
        <v>585</v>
      </c>
      <c r="G33" s="36" t="s">
        <v>95</v>
      </c>
      <c r="H33" s="426">
        <v>0</v>
      </c>
      <c r="I33" s="426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659</v>
      </c>
      <c r="S33" s="13"/>
    </row>
    <row r="34" spans="1:19" s="13" customFormat="1">
      <c r="A34" s="13">
        <v>64</v>
      </c>
      <c r="B34" s="13">
        <v>84</v>
      </c>
      <c r="C34" s="13" t="s">
        <v>537</v>
      </c>
      <c r="D34" s="13" t="s">
        <v>390</v>
      </c>
      <c r="E34" s="13" t="s">
        <v>158</v>
      </c>
      <c r="F34" s="36" t="s">
        <v>586</v>
      </c>
      <c r="G34" s="36" t="s">
        <v>587</v>
      </c>
      <c r="H34" s="426">
        <v>0</v>
      </c>
      <c r="I34" s="426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652</v>
      </c>
    </row>
    <row r="35" spans="1:19" s="5" customFormat="1">
      <c r="A35" s="13">
        <v>66</v>
      </c>
      <c r="B35" s="13">
        <v>86</v>
      </c>
      <c r="C35" s="13" t="s">
        <v>538</v>
      </c>
      <c r="D35" s="13" t="s">
        <v>390</v>
      </c>
      <c r="E35" s="13" t="s">
        <v>314</v>
      </c>
      <c r="F35" s="36" t="s">
        <v>588</v>
      </c>
      <c r="G35" s="36" t="s">
        <v>80</v>
      </c>
      <c r="H35" s="426">
        <v>0</v>
      </c>
      <c r="I35" s="426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652</v>
      </c>
      <c r="S35" s="13"/>
    </row>
    <row r="36" spans="1:19" s="5" customFormat="1">
      <c r="A36" s="13">
        <v>67</v>
      </c>
      <c r="B36" s="13">
        <v>88</v>
      </c>
      <c r="C36" s="13" t="s">
        <v>539</v>
      </c>
      <c r="D36" s="13" t="s">
        <v>390</v>
      </c>
      <c r="E36" s="13" t="s">
        <v>314</v>
      </c>
      <c r="F36" s="36" t="s">
        <v>589</v>
      </c>
      <c r="G36" s="36" t="s">
        <v>80</v>
      </c>
      <c r="H36" s="426">
        <v>0</v>
      </c>
      <c r="I36" s="426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13" customFormat="1">
      <c r="A37" s="13">
        <v>68</v>
      </c>
      <c r="B37" s="13">
        <v>90</v>
      </c>
      <c r="C37" s="13">
        <v>5309</v>
      </c>
      <c r="D37" s="13" t="s">
        <v>390</v>
      </c>
      <c r="E37" s="13" t="s">
        <v>314</v>
      </c>
      <c r="F37" s="36" t="s">
        <v>362</v>
      </c>
      <c r="G37" s="36" t="s">
        <v>80</v>
      </c>
      <c r="H37" s="426">
        <v>45000000</v>
      </c>
      <c r="I37" s="426">
        <f>H37</f>
        <v>45000000</v>
      </c>
      <c r="J37" s="11">
        <v>44211</v>
      </c>
      <c r="K37" s="11">
        <f>J37+35</f>
        <v>44246</v>
      </c>
      <c r="L37" s="289">
        <v>45000000</v>
      </c>
      <c r="M37" s="11">
        <f>J37+180</f>
        <v>44391</v>
      </c>
      <c r="N37" s="289">
        <v>0</v>
      </c>
      <c r="O37" s="289">
        <f>L37-N37</f>
        <v>45000000</v>
      </c>
      <c r="P37" s="11">
        <v>44289</v>
      </c>
      <c r="Q37" s="13" t="s">
        <v>264</v>
      </c>
      <c r="R37" s="446" t="s">
        <v>658</v>
      </c>
    </row>
    <row r="38" spans="1:19" s="475" customFormat="1">
      <c r="A38" s="475">
        <v>71</v>
      </c>
      <c r="B38" s="475">
        <v>71</v>
      </c>
      <c r="C38" s="475">
        <v>5310</v>
      </c>
      <c r="D38" s="475" t="s">
        <v>390</v>
      </c>
      <c r="E38" s="475" t="s">
        <v>227</v>
      </c>
      <c r="F38" s="477" t="s">
        <v>228</v>
      </c>
      <c r="G38" s="477" t="s">
        <v>229</v>
      </c>
      <c r="H38" s="450">
        <v>80000000</v>
      </c>
      <c r="I38" s="450">
        <f>H38</f>
        <v>80000000</v>
      </c>
      <c r="J38" s="478">
        <v>44211</v>
      </c>
      <c r="K38" s="478">
        <f>J38+35</f>
        <v>44246</v>
      </c>
      <c r="L38" s="354">
        <v>0</v>
      </c>
      <c r="M38" s="478">
        <f>J38+150</f>
        <v>44361</v>
      </c>
      <c r="N38" s="354"/>
      <c r="O38" s="354">
        <f>I38-L38</f>
        <v>80000000</v>
      </c>
      <c r="P38" s="478">
        <v>44251</v>
      </c>
      <c r="Q38" s="475" t="s">
        <v>571</v>
      </c>
      <c r="R38" s="480"/>
    </row>
    <row r="39" spans="1:19" s="5" customFormat="1" ht="11.4">
      <c r="A39" s="5">
        <v>73</v>
      </c>
      <c r="B39" s="5">
        <v>94</v>
      </c>
      <c r="C39" s="5">
        <v>5311</v>
      </c>
      <c r="D39" s="5" t="s">
        <v>638</v>
      </c>
      <c r="E39" s="5" t="s">
        <v>225</v>
      </c>
      <c r="F39" s="26" t="s">
        <v>590</v>
      </c>
      <c r="G39" s="26" t="s">
        <v>591</v>
      </c>
      <c r="H39" s="352">
        <v>40000000</v>
      </c>
      <c r="I39" s="352">
        <f>H39</f>
        <v>40000000</v>
      </c>
      <c r="J39" s="6">
        <v>44212</v>
      </c>
      <c r="K39" s="6">
        <f>J39+35</f>
        <v>44247</v>
      </c>
      <c r="L39" s="349">
        <v>40000000</v>
      </c>
      <c r="M39" s="6">
        <f>J39+180</f>
        <v>44392</v>
      </c>
      <c r="N39" s="349"/>
      <c r="O39" s="349"/>
      <c r="P39" s="6"/>
      <c r="Q39" s="5" t="s">
        <v>264</v>
      </c>
      <c r="R39" s="510" t="s">
        <v>660</v>
      </c>
    </row>
    <row r="40" spans="1:19" s="5" customFormat="1">
      <c r="A40" s="13">
        <v>74</v>
      </c>
      <c r="B40" s="13">
        <v>95</v>
      </c>
      <c r="C40" s="13" t="s">
        <v>540</v>
      </c>
      <c r="D40" s="13" t="s">
        <v>390</v>
      </c>
      <c r="E40" s="13" t="s">
        <v>592</v>
      </c>
      <c r="F40" s="36" t="s">
        <v>593</v>
      </c>
      <c r="G40" s="36" t="s">
        <v>594</v>
      </c>
      <c r="H40" s="426">
        <v>0</v>
      </c>
      <c r="I40" s="289"/>
      <c r="J40" s="11"/>
      <c r="K40" s="11"/>
      <c r="L40" s="350"/>
      <c r="M40" s="11"/>
      <c r="N40" s="289"/>
      <c r="O40" s="289"/>
      <c r="P40" s="11"/>
      <c r="Q40" s="13" t="s">
        <v>264</v>
      </c>
      <c r="R40" s="93" t="s">
        <v>655</v>
      </c>
      <c r="S40" s="13"/>
    </row>
    <row r="41" spans="1:19" s="475" customFormat="1">
      <c r="A41" s="475">
        <v>75</v>
      </c>
      <c r="B41" s="475">
        <v>75</v>
      </c>
      <c r="C41" s="475">
        <v>5312</v>
      </c>
      <c r="D41" s="475" t="s">
        <v>390</v>
      </c>
      <c r="E41" s="475" t="s">
        <v>361</v>
      </c>
      <c r="F41" s="477" t="s">
        <v>595</v>
      </c>
      <c r="G41" s="477" t="s">
        <v>152</v>
      </c>
      <c r="H41" s="450">
        <v>138305473</v>
      </c>
      <c r="I41" s="354">
        <f>H41</f>
        <v>138305473</v>
      </c>
      <c r="J41" s="478">
        <v>44212</v>
      </c>
      <c r="K41" s="478">
        <f>J41+35</f>
        <v>44247</v>
      </c>
      <c r="L41" s="354">
        <v>138300000</v>
      </c>
      <c r="M41" s="478">
        <f>J41+150</f>
        <v>44362</v>
      </c>
      <c r="N41" s="354">
        <v>0</v>
      </c>
      <c r="O41" s="354">
        <f>I41-N41</f>
        <v>138305473</v>
      </c>
      <c r="P41" s="478">
        <v>44271</v>
      </c>
      <c r="Q41" s="475" t="s">
        <v>571</v>
      </c>
      <c r="R41" s="480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596</v>
      </c>
      <c r="G42" s="36" t="s">
        <v>597</v>
      </c>
      <c r="H42" s="426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6" t="s">
        <v>670</v>
      </c>
    </row>
    <row r="43" spans="1:19" s="13" customFormat="1">
      <c r="A43" s="13">
        <v>79</v>
      </c>
      <c r="B43" s="13">
        <v>99</v>
      </c>
      <c r="C43" s="13" t="s">
        <v>541</v>
      </c>
      <c r="D43" s="13" t="s">
        <v>390</v>
      </c>
      <c r="E43" s="13" t="s">
        <v>153</v>
      </c>
      <c r="F43" s="36" t="s">
        <v>598</v>
      </c>
      <c r="G43" s="36" t="s">
        <v>81</v>
      </c>
      <c r="H43" s="426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661</v>
      </c>
    </row>
    <row r="44" spans="1:19" s="5" customFormat="1" ht="11.4">
      <c r="A44" s="5">
        <v>84</v>
      </c>
      <c r="B44" s="5">
        <v>105</v>
      </c>
      <c r="C44" s="5">
        <v>5324</v>
      </c>
      <c r="D44" s="5" t="s">
        <v>638</v>
      </c>
      <c r="E44" s="5" t="s">
        <v>225</v>
      </c>
      <c r="F44" s="26" t="s">
        <v>599</v>
      </c>
      <c r="G44" s="26" t="s">
        <v>348</v>
      </c>
      <c r="H44" s="352">
        <v>69152737</v>
      </c>
      <c r="I44" s="349">
        <f>H44</f>
        <v>69152737</v>
      </c>
      <c r="J44" s="6">
        <v>44247</v>
      </c>
      <c r="K44" s="6">
        <f>J44+35</f>
        <v>44282</v>
      </c>
      <c r="L44" s="352">
        <v>69152737</v>
      </c>
      <c r="M44" s="6">
        <f>J44+180</f>
        <v>44427</v>
      </c>
      <c r="N44" s="349"/>
      <c r="O44" s="349"/>
      <c r="P44" s="6"/>
      <c r="Q44" s="5" t="s">
        <v>272</v>
      </c>
      <c r="R44" s="142"/>
    </row>
    <row r="45" spans="1:19" s="13" customFormat="1">
      <c r="A45" s="13">
        <v>85</v>
      </c>
      <c r="B45" s="13">
        <v>9</v>
      </c>
      <c r="C45" s="13" t="s">
        <v>542</v>
      </c>
      <c r="D45" s="13" t="s">
        <v>390</v>
      </c>
      <c r="E45" s="13" t="s">
        <v>223</v>
      </c>
      <c r="F45" s="36" t="s">
        <v>600</v>
      </c>
      <c r="G45" s="36" t="s">
        <v>81</v>
      </c>
      <c r="H45" s="426">
        <v>0</v>
      </c>
      <c r="I45" s="289"/>
      <c r="J45" s="11"/>
      <c r="K45" s="11"/>
      <c r="L45" s="350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>
        <v>5325</v>
      </c>
      <c r="D46" s="13" t="s">
        <v>390</v>
      </c>
      <c r="E46" s="13" t="s">
        <v>153</v>
      </c>
      <c r="F46" s="36" t="s">
        <v>601</v>
      </c>
      <c r="G46" s="36" t="s">
        <v>81</v>
      </c>
      <c r="H46" s="426">
        <v>40000000</v>
      </c>
      <c r="I46" s="289">
        <f t="shared" ref="I46:I52" si="7">H46</f>
        <v>40000000</v>
      </c>
      <c r="J46" s="11">
        <v>44247</v>
      </c>
      <c r="K46" s="11">
        <f t="shared" ref="K46:K52" si="8">J46+35</f>
        <v>44282</v>
      </c>
      <c r="L46" s="289">
        <v>0</v>
      </c>
      <c r="M46" s="11">
        <f>J46+180</f>
        <v>44427</v>
      </c>
      <c r="N46" s="289">
        <v>0</v>
      </c>
      <c r="O46" s="289">
        <f>I46-L46</f>
        <v>40000000</v>
      </c>
      <c r="P46" s="11">
        <v>44285</v>
      </c>
      <c r="Q46" s="13" t="s">
        <v>242</v>
      </c>
      <c r="R46" s="93"/>
    </row>
    <row r="47" spans="1:19" s="475" customFormat="1">
      <c r="A47" s="475">
        <v>87</v>
      </c>
      <c r="B47" s="475">
        <v>87</v>
      </c>
      <c r="C47" s="475">
        <v>5337</v>
      </c>
      <c r="D47" s="475" t="s">
        <v>390</v>
      </c>
      <c r="E47" s="475" t="s">
        <v>365</v>
      </c>
      <c r="F47" s="477" t="s">
        <v>366</v>
      </c>
      <c r="G47" s="477" t="s">
        <v>367</v>
      </c>
      <c r="H47" s="450">
        <v>100000000</v>
      </c>
      <c r="I47" s="354">
        <f t="shared" si="7"/>
        <v>100000000</v>
      </c>
      <c r="J47" s="478">
        <v>44271</v>
      </c>
      <c r="K47" s="478">
        <f t="shared" si="8"/>
        <v>44306</v>
      </c>
      <c r="L47" s="354">
        <v>0</v>
      </c>
      <c r="M47" s="478">
        <f>J47+150</f>
        <v>44421</v>
      </c>
      <c r="N47" s="354">
        <v>0</v>
      </c>
      <c r="O47" s="354">
        <f>I47-N47</f>
        <v>100000000</v>
      </c>
      <c r="P47" s="478">
        <v>44289</v>
      </c>
      <c r="Q47" s="475" t="s">
        <v>571</v>
      </c>
      <c r="R47" s="480"/>
    </row>
    <row r="48" spans="1:19" s="5" customFormat="1" ht="11.4">
      <c r="A48" s="5">
        <v>88</v>
      </c>
      <c r="B48" s="5">
        <v>12</v>
      </c>
      <c r="C48" s="5">
        <v>5338</v>
      </c>
      <c r="D48" s="5" t="s">
        <v>638</v>
      </c>
      <c r="E48" s="5" t="s">
        <v>153</v>
      </c>
      <c r="F48" s="26" t="s">
        <v>602</v>
      </c>
      <c r="G48" s="26" t="s">
        <v>81</v>
      </c>
      <c r="H48" s="352">
        <v>45000000</v>
      </c>
      <c r="I48" s="349">
        <f t="shared" si="7"/>
        <v>45000000</v>
      </c>
      <c r="J48" s="6">
        <v>44271</v>
      </c>
      <c r="K48" s="6">
        <f t="shared" si="8"/>
        <v>44306</v>
      </c>
      <c r="L48" s="349">
        <v>45000000</v>
      </c>
      <c r="M48" s="6">
        <f>J48+180</f>
        <v>44451</v>
      </c>
      <c r="N48" s="349"/>
      <c r="O48" s="349"/>
      <c r="P48" s="6"/>
      <c r="Q48" s="5" t="s">
        <v>242</v>
      </c>
      <c r="R48" s="142"/>
    </row>
    <row r="49" spans="1:19" s="585" customFormat="1">
      <c r="A49" s="585">
        <v>89</v>
      </c>
      <c r="B49" s="585">
        <v>89</v>
      </c>
      <c r="C49" s="585">
        <v>5339</v>
      </c>
      <c r="D49" s="585" t="s">
        <v>638</v>
      </c>
      <c r="E49" s="585" t="s">
        <v>83</v>
      </c>
      <c r="F49" s="586" t="s">
        <v>603</v>
      </c>
      <c r="G49" s="586" t="s">
        <v>148</v>
      </c>
      <c r="H49" s="450">
        <v>80000000</v>
      </c>
      <c r="I49" s="354">
        <f t="shared" si="7"/>
        <v>80000000</v>
      </c>
      <c r="J49" s="587">
        <v>44271</v>
      </c>
      <c r="K49" s="587">
        <f t="shared" si="8"/>
        <v>44306</v>
      </c>
      <c r="L49" s="354"/>
      <c r="M49" s="587">
        <f>J49+150</f>
        <v>44421</v>
      </c>
      <c r="N49" s="354"/>
      <c r="O49" s="354"/>
      <c r="P49" s="587"/>
      <c r="Q49" s="585" t="s">
        <v>571</v>
      </c>
      <c r="R49" s="588"/>
    </row>
    <row r="50" spans="1:19" s="5" customFormat="1" ht="11.4">
      <c r="A50" s="5">
        <v>92</v>
      </c>
      <c r="B50" s="5">
        <v>108</v>
      </c>
      <c r="C50" s="5">
        <v>5343</v>
      </c>
      <c r="D50" s="5" t="s">
        <v>638</v>
      </c>
      <c r="E50" s="5" t="s">
        <v>592</v>
      </c>
      <c r="F50" s="26" t="s">
        <v>604</v>
      </c>
      <c r="G50" s="26" t="s">
        <v>594</v>
      </c>
      <c r="H50" s="352">
        <v>44200000</v>
      </c>
      <c r="I50" s="69">
        <f t="shared" si="7"/>
        <v>44200000</v>
      </c>
      <c r="J50" s="6">
        <v>44286</v>
      </c>
      <c r="K50" s="6">
        <f t="shared" si="8"/>
        <v>44321</v>
      </c>
      <c r="L50" s="349"/>
      <c r="M50" s="6">
        <f>J50+180</f>
        <v>44466</v>
      </c>
      <c r="N50" s="349"/>
      <c r="O50" s="349"/>
      <c r="P50" s="6"/>
      <c r="Q50" s="5" t="s">
        <v>272</v>
      </c>
      <c r="R50" s="142"/>
    </row>
    <row r="51" spans="1:19" s="5" customFormat="1" ht="11.4">
      <c r="A51" s="5">
        <v>93</v>
      </c>
      <c r="B51" s="5">
        <v>16</v>
      </c>
      <c r="C51" s="5">
        <v>5344</v>
      </c>
      <c r="D51" s="5" t="s">
        <v>638</v>
      </c>
      <c r="E51" s="5" t="s">
        <v>636</v>
      </c>
      <c r="F51" s="26" t="s">
        <v>605</v>
      </c>
      <c r="G51" s="26" t="s">
        <v>81</v>
      </c>
      <c r="H51" s="352">
        <v>50000000</v>
      </c>
      <c r="I51" s="349">
        <f t="shared" si="7"/>
        <v>50000000</v>
      </c>
      <c r="J51" s="6">
        <v>44294</v>
      </c>
      <c r="K51" s="6">
        <f t="shared" si="8"/>
        <v>44329</v>
      </c>
      <c r="L51" s="349"/>
      <c r="M51" s="6">
        <f>J51+180</f>
        <v>44474</v>
      </c>
      <c r="N51" s="349"/>
      <c r="O51" s="349"/>
      <c r="P51" s="6"/>
      <c r="Q51" s="5" t="s">
        <v>242</v>
      </c>
      <c r="R51" s="142"/>
    </row>
    <row r="52" spans="1:19" s="13" customFormat="1">
      <c r="A52" s="13">
        <v>94</v>
      </c>
      <c r="B52" s="13">
        <v>19</v>
      </c>
      <c r="C52" s="13">
        <v>5345</v>
      </c>
      <c r="D52" s="13" t="s">
        <v>390</v>
      </c>
      <c r="E52" s="13" t="s">
        <v>153</v>
      </c>
      <c r="F52" s="36" t="s">
        <v>606</v>
      </c>
      <c r="G52" s="36" t="s">
        <v>81</v>
      </c>
      <c r="H52" s="426">
        <v>50000000</v>
      </c>
      <c r="I52" s="289">
        <f t="shared" si="7"/>
        <v>50000000</v>
      </c>
      <c r="J52" s="11">
        <v>44294</v>
      </c>
      <c r="K52" s="11">
        <f t="shared" si="8"/>
        <v>44329</v>
      </c>
      <c r="L52" s="289">
        <v>0</v>
      </c>
      <c r="M52" s="11">
        <f>J52+180</f>
        <v>44474</v>
      </c>
      <c r="N52" s="289">
        <v>0</v>
      </c>
      <c r="O52" s="289">
        <f>I52-N52</f>
        <v>50000000</v>
      </c>
      <c r="P52" s="11">
        <v>44306</v>
      </c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543</v>
      </c>
      <c r="D53" s="13" t="s">
        <v>390</v>
      </c>
      <c r="E53" s="13" t="s">
        <v>223</v>
      </c>
      <c r="F53" s="36" t="s">
        <v>279</v>
      </c>
      <c r="G53" s="36" t="s">
        <v>81</v>
      </c>
      <c r="H53" s="426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5" customFormat="1" ht="11.4">
      <c r="A54" s="5">
        <v>96</v>
      </c>
      <c r="B54" s="5">
        <v>23</v>
      </c>
      <c r="C54" s="5">
        <v>5346</v>
      </c>
      <c r="D54" s="5" t="s">
        <v>638</v>
      </c>
      <c r="E54" s="5" t="s">
        <v>636</v>
      </c>
      <c r="F54" s="26" t="s">
        <v>607</v>
      </c>
      <c r="G54" s="26" t="s">
        <v>81</v>
      </c>
      <c r="H54" s="352">
        <v>50000000</v>
      </c>
      <c r="I54" s="349">
        <f>H54</f>
        <v>50000000</v>
      </c>
      <c r="J54" s="6">
        <v>44294</v>
      </c>
      <c r="K54" s="6">
        <f>J54+35</f>
        <v>44329</v>
      </c>
      <c r="L54" s="349"/>
      <c r="M54" s="6">
        <f>J54+180</f>
        <v>44474</v>
      </c>
      <c r="N54" s="349"/>
      <c r="O54" s="349"/>
      <c r="P54" s="6"/>
      <c r="Q54" s="5" t="s">
        <v>242</v>
      </c>
      <c r="R54" s="142"/>
    </row>
    <row r="55" spans="1:19" s="5" customFormat="1" ht="11.4">
      <c r="A55" s="5">
        <v>97</v>
      </c>
      <c r="B55" s="5">
        <v>25</v>
      </c>
      <c r="C55" s="5">
        <v>5350</v>
      </c>
      <c r="D55" s="5" t="s">
        <v>638</v>
      </c>
      <c r="E55" s="5" t="s">
        <v>223</v>
      </c>
      <c r="F55" s="26" t="s">
        <v>608</v>
      </c>
      <c r="G55" s="26" t="s">
        <v>81</v>
      </c>
      <c r="H55" s="352">
        <v>60000000</v>
      </c>
      <c r="I55" s="349">
        <f>H55</f>
        <v>60000000</v>
      </c>
      <c r="J55" s="6">
        <v>44302</v>
      </c>
      <c r="K55" s="6">
        <f>J55+35</f>
        <v>44337</v>
      </c>
      <c r="L55" s="349"/>
      <c r="M55" s="6">
        <f>J55+180</f>
        <v>44482</v>
      </c>
      <c r="N55" s="349"/>
      <c r="O55" s="349"/>
      <c r="P55" s="6"/>
      <c r="Q55" s="5" t="s">
        <v>242</v>
      </c>
      <c r="R55" s="142" t="s">
        <v>757</v>
      </c>
      <c r="S55" s="381" t="s">
        <v>763</v>
      </c>
    </row>
    <row r="56" spans="1:19" s="13" customFormat="1">
      <c r="A56" s="13">
        <v>98</v>
      </c>
      <c r="B56" s="13">
        <v>109</v>
      </c>
      <c r="C56" s="13" t="s">
        <v>544</v>
      </c>
      <c r="D56" s="13" t="s">
        <v>390</v>
      </c>
      <c r="E56" s="13" t="s">
        <v>225</v>
      </c>
      <c r="F56" s="36" t="s">
        <v>369</v>
      </c>
      <c r="G56" s="36" t="s">
        <v>320</v>
      </c>
      <c r="H56" s="426">
        <v>0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93" t="s">
        <v>758</v>
      </c>
    </row>
    <row r="57" spans="1:19" s="577" customFormat="1" ht="11.4">
      <c r="A57" s="577">
        <v>99</v>
      </c>
      <c r="B57" s="577">
        <v>26</v>
      </c>
      <c r="C57" s="577">
        <v>5352</v>
      </c>
      <c r="D57" s="577" t="s">
        <v>638</v>
      </c>
      <c r="E57" s="577" t="s">
        <v>223</v>
      </c>
      <c r="F57" s="578" t="s">
        <v>609</v>
      </c>
      <c r="G57" s="578" t="s">
        <v>81</v>
      </c>
      <c r="H57" s="352">
        <v>40000000</v>
      </c>
      <c r="I57" s="349">
        <f>H57</f>
        <v>40000000</v>
      </c>
      <c r="J57" s="579">
        <v>44308</v>
      </c>
      <c r="K57" s="579">
        <f>J57+35</f>
        <v>44343</v>
      </c>
      <c r="L57" s="349"/>
      <c r="M57" s="579">
        <f>J57+180</f>
        <v>44488</v>
      </c>
      <c r="N57" s="349"/>
      <c r="O57" s="349"/>
      <c r="P57" s="579"/>
      <c r="Q57" s="577" t="s">
        <v>242</v>
      </c>
      <c r="R57" s="580"/>
    </row>
    <row r="58" spans="1:19" s="5" customFormat="1">
      <c r="A58" s="13">
        <v>101</v>
      </c>
      <c r="B58" s="13">
        <v>27</v>
      </c>
      <c r="C58" s="13" t="s">
        <v>545</v>
      </c>
      <c r="D58" s="13" t="s">
        <v>390</v>
      </c>
      <c r="E58" s="13" t="s">
        <v>153</v>
      </c>
      <c r="F58" s="36" t="s">
        <v>403</v>
      </c>
      <c r="G58" s="36" t="s">
        <v>81</v>
      </c>
      <c r="H58" s="426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546</v>
      </c>
      <c r="D59" s="13" t="s">
        <v>390</v>
      </c>
      <c r="E59" s="13" t="s">
        <v>223</v>
      </c>
      <c r="F59" s="36" t="s">
        <v>610</v>
      </c>
      <c r="G59" s="36" t="s">
        <v>81</v>
      </c>
      <c r="H59" s="426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581" customFormat="1" ht="11.4">
      <c r="A60" s="581">
        <v>103</v>
      </c>
      <c r="B60" s="581">
        <v>103</v>
      </c>
      <c r="C60" s="581">
        <v>5353</v>
      </c>
      <c r="D60" s="581" t="s">
        <v>638</v>
      </c>
      <c r="E60" s="581" t="s">
        <v>83</v>
      </c>
      <c r="F60" s="582" t="s">
        <v>611</v>
      </c>
      <c r="G60" s="582" t="s">
        <v>352</v>
      </c>
      <c r="H60" s="505">
        <v>100000000</v>
      </c>
      <c r="I60" s="507">
        <f>H60</f>
        <v>100000000</v>
      </c>
      <c r="J60" s="583">
        <v>44308</v>
      </c>
      <c r="K60" s="583">
        <f>J60+35</f>
        <v>44343</v>
      </c>
      <c r="L60" s="507"/>
      <c r="M60" s="583">
        <f>J60+150</f>
        <v>44458</v>
      </c>
      <c r="N60" s="507"/>
      <c r="O60" s="507"/>
      <c r="P60" s="583"/>
      <c r="Q60" s="581" t="s">
        <v>571</v>
      </c>
      <c r="R60" s="584"/>
    </row>
    <row r="61" spans="1:19" s="13" customFormat="1">
      <c r="A61" s="13">
        <v>107</v>
      </c>
      <c r="B61" s="13">
        <v>35</v>
      </c>
      <c r="C61" s="13" t="s">
        <v>547</v>
      </c>
      <c r="D61" s="13" t="s">
        <v>390</v>
      </c>
      <c r="E61" s="13" t="s">
        <v>223</v>
      </c>
      <c r="F61" s="36" t="s">
        <v>612</v>
      </c>
      <c r="G61" s="36" t="s">
        <v>81</v>
      </c>
      <c r="H61" s="426">
        <v>0</v>
      </c>
      <c r="I61" s="289"/>
      <c r="J61" s="11"/>
      <c r="K61" s="11"/>
      <c r="L61" s="289"/>
      <c r="M61" s="11"/>
      <c r="N61" s="350"/>
      <c r="O61" s="350"/>
      <c r="P61" s="11"/>
      <c r="Q61" s="13" t="s">
        <v>242</v>
      </c>
      <c r="R61" s="11"/>
    </row>
    <row r="62" spans="1:19" s="569" customFormat="1">
      <c r="A62" s="569">
        <v>110</v>
      </c>
      <c r="B62" s="569">
        <v>38</v>
      </c>
      <c r="C62" s="569">
        <v>5354</v>
      </c>
      <c r="D62" s="569" t="s">
        <v>638</v>
      </c>
      <c r="E62" s="569" t="s">
        <v>637</v>
      </c>
      <c r="F62" s="570" t="s">
        <v>613</v>
      </c>
      <c r="G62" s="570" t="s">
        <v>211</v>
      </c>
      <c r="H62" s="553">
        <v>20000000</v>
      </c>
      <c r="I62" s="390">
        <f>H62</f>
        <v>20000000</v>
      </c>
      <c r="J62" s="571">
        <v>44308</v>
      </c>
      <c r="K62" s="571">
        <f>J62+35</f>
        <v>44343</v>
      </c>
      <c r="L62" s="390"/>
      <c r="M62" s="571">
        <f>J62+180</f>
        <v>44488</v>
      </c>
      <c r="N62" s="390"/>
      <c r="O62" s="390"/>
      <c r="P62" s="571"/>
      <c r="Q62" s="569" t="s">
        <v>242</v>
      </c>
      <c r="R62" s="572"/>
    </row>
    <row r="63" spans="1:19" s="573" customFormat="1">
      <c r="A63" s="573">
        <v>111</v>
      </c>
      <c r="B63" s="573">
        <v>41</v>
      </c>
      <c r="C63" s="573" t="s">
        <v>548</v>
      </c>
      <c r="D63" s="573" t="s">
        <v>43</v>
      </c>
      <c r="E63" s="573" t="s">
        <v>226</v>
      </c>
      <c r="F63" s="574" t="s">
        <v>614</v>
      </c>
      <c r="G63" s="574" t="s">
        <v>233</v>
      </c>
      <c r="H63" s="426">
        <v>35000000</v>
      </c>
      <c r="I63" s="289"/>
      <c r="J63" s="575"/>
      <c r="K63" s="575"/>
      <c r="L63" s="289"/>
      <c r="M63" s="575"/>
      <c r="N63" s="350"/>
      <c r="O63" s="350"/>
      <c r="P63" s="575"/>
      <c r="Q63" s="573" t="s">
        <v>242</v>
      </c>
      <c r="R63" s="576"/>
    </row>
    <row r="64" spans="1:19" s="381" customFormat="1">
      <c r="A64" s="475">
        <v>113</v>
      </c>
      <c r="B64" s="475">
        <v>113</v>
      </c>
      <c r="C64" s="475" t="s">
        <v>549</v>
      </c>
      <c r="D64" s="475" t="s">
        <v>43</v>
      </c>
      <c r="E64" s="475" t="s">
        <v>83</v>
      </c>
      <c r="F64" s="477" t="s">
        <v>615</v>
      </c>
      <c r="G64" s="477" t="s">
        <v>355</v>
      </c>
      <c r="H64" s="450">
        <v>100000000</v>
      </c>
      <c r="I64" s="354"/>
      <c r="J64" s="478"/>
      <c r="K64" s="478"/>
      <c r="L64" s="354"/>
      <c r="M64" s="478"/>
      <c r="N64" s="354"/>
      <c r="O64" s="354"/>
      <c r="P64" s="478"/>
      <c r="Q64" s="475" t="s">
        <v>571</v>
      </c>
      <c r="R64" s="480"/>
      <c r="S64" s="475"/>
    </row>
    <row r="65" spans="1:19" s="13" customFormat="1">
      <c r="A65" s="13">
        <v>114</v>
      </c>
      <c r="B65" s="13">
        <v>117</v>
      </c>
      <c r="C65" s="13" t="s">
        <v>550</v>
      </c>
      <c r="D65" s="13" t="s">
        <v>390</v>
      </c>
      <c r="E65" s="13" t="s">
        <v>314</v>
      </c>
      <c r="F65" s="36" t="s">
        <v>616</v>
      </c>
      <c r="G65" s="36" t="s">
        <v>80</v>
      </c>
      <c r="H65" s="426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 t="s">
        <v>551</v>
      </c>
      <c r="D66" s="13" t="s">
        <v>43</v>
      </c>
      <c r="E66" s="13" t="s">
        <v>223</v>
      </c>
      <c r="F66" s="36" t="s">
        <v>617</v>
      </c>
      <c r="G66" s="36" t="s">
        <v>81</v>
      </c>
      <c r="H66" s="426">
        <v>40000000</v>
      </c>
      <c r="I66" s="289"/>
      <c r="J66" s="11"/>
      <c r="K66" s="11"/>
      <c r="L66" s="289"/>
      <c r="M66" s="11"/>
      <c r="N66" s="289"/>
      <c r="O66" s="289"/>
      <c r="P66" s="11"/>
      <c r="Q66" s="13" t="s">
        <v>242</v>
      </c>
      <c r="R66" s="93"/>
    </row>
    <row r="67" spans="1:19" s="13" customFormat="1">
      <c r="A67" s="13">
        <v>118</v>
      </c>
      <c r="B67" s="13">
        <v>46</v>
      </c>
      <c r="C67" s="13" t="s">
        <v>552</v>
      </c>
      <c r="D67" s="13" t="s">
        <v>43</v>
      </c>
      <c r="E67" s="13" t="s">
        <v>153</v>
      </c>
      <c r="F67" s="36" t="s">
        <v>618</v>
      </c>
      <c r="G67" s="36" t="s">
        <v>81</v>
      </c>
      <c r="H67" s="426">
        <v>12000000</v>
      </c>
      <c r="I67" s="479"/>
      <c r="J67" s="11"/>
      <c r="K67" s="11"/>
      <c r="L67" s="289"/>
      <c r="M67" s="11"/>
      <c r="N67" s="289"/>
      <c r="O67" s="289"/>
      <c r="P67" s="11"/>
      <c r="Q67" s="13" t="s">
        <v>242</v>
      </c>
      <c r="R67" s="11"/>
    </row>
    <row r="68" spans="1:19" s="13" customFormat="1">
      <c r="A68" s="13">
        <v>119</v>
      </c>
      <c r="B68" s="13">
        <v>47</v>
      </c>
      <c r="C68" s="13" t="s">
        <v>553</v>
      </c>
      <c r="D68" s="13" t="s">
        <v>43</v>
      </c>
      <c r="E68" s="13" t="s">
        <v>223</v>
      </c>
      <c r="F68" s="36" t="s">
        <v>619</v>
      </c>
      <c r="G68" s="36" t="s">
        <v>81</v>
      </c>
      <c r="H68" s="426">
        <v>35000000</v>
      </c>
      <c r="I68" s="289"/>
      <c r="J68" s="11"/>
      <c r="K68" s="11"/>
      <c r="L68" s="289"/>
      <c r="M68" s="11"/>
      <c r="N68" s="289"/>
      <c r="O68" s="289"/>
      <c r="P68" s="11"/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 t="s">
        <v>554</v>
      </c>
      <c r="D69" s="13" t="s">
        <v>43</v>
      </c>
      <c r="E69" s="13" t="s">
        <v>236</v>
      </c>
      <c r="F69" s="36" t="s">
        <v>283</v>
      </c>
      <c r="G69" s="36" t="s">
        <v>80</v>
      </c>
      <c r="H69" s="426">
        <v>40000000</v>
      </c>
      <c r="I69" s="289"/>
      <c r="J69" s="11"/>
      <c r="K69" s="11"/>
      <c r="L69" s="289"/>
      <c r="M69" s="11"/>
      <c r="N69" s="289"/>
      <c r="O69" s="289"/>
      <c r="P69" s="11"/>
      <c r="Q69" s="13" t="s">
        <v>272</v>
      </c>
      <c r="R69" s="11"/>
    </row>
    <row r="70" spans="1:19" s="13" customFormat="1">
      <c r="A70" s="13" t="s">
        <v>146</v>
      </c>
      <c r="B70" s="13" t="s">
        <v>146</v>
      </c>
      <c r="C70" s="13" t="s">
        <v>555</v>
      </c>
      <c r="D70" s="13" t="s">
        <v>390</v>
      </c>
      <c r="E70" s="13" t="s">
        <v>158</v>
      </c>
      <c r="F70" s="36" t="s">
        <v>620</v>
      </c>
      <c r="G70" s="36" t="s">
        <v>275</v>
      </c>
      <c r="H70" s="426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381" customFormat="1" ht="11.4">
      <c r="A71" s="381" t="s">
        <v>146</v>
      </c>
      <c r="B71" s="381" t="s">
        <v>146</v>
      </c>
      <c r="C71" s="381">
        <v>5351</v>
      </c>
      <c r="D71" s="381" t="s">
        <v>638</v>
      </c>
      <c r="E71" s="381" t="s">
        <v>83</v>
      </c>
      <c r="F71" s="504" t="s">
        <v>621</v>
      </c>
      <c r="G71" s="504" t="s">
        <v>274</v>
      </c>
      <c r="H71" s="505">
        <v>35000000</v>
      </c>
      <c r="I71" s="507">
        <f>H71</f>
        <v>35000000</v>
      </c>
      <c r="J71" s="506">
        <v>44302</v>
      </c>
      <c r="K71" s="506">
        <f>J71+35</f>
        <v>44337</v>
      </c>
      <c r="L71" s="507"/>
      <c r="M71" s="506">
        <f>J71+150</f>
        <v>44452</v>
      </c>
      <c r="N71" s="507"/>
      <c r="O71" s="507"/>
      <c r="P71" s="506"/>
      <c r="Q71" s="381" t="s">
        <v>571</v>
      </c>
      <c r="R71" s="506"/>
      <c r="S71" s="381" t="s">
        <v>762</v>
      </c>
    </row>
    <row r="72" spans="1:19" s="475" customFormat="1">
      <c r="A72" s="475" t="s">
        <v>146</v>
      </c>
      <c r="B72" s="475" t="s">
        <v>146</v>
      </c>
      <c r="C72" s="475" t="s">
        <v>556</v>
      </c>
      <c r="D72" s="475" t="s">
        <v>43</v>
      </c>
      <c r="E72" s="475" t="s">
        <v>364</v>
      </c>
      <c r="F72" s="477" t="s">
        <v>561</v>
      </c>
      <c r="G72" s="477" t="s">
        <v>152</v>
      </c>
      <c r="H72" s="450">
        <v>100000000</v>
      </c>
      <c r="I72" s="354"/>
      <c r="J72" s="478"/>
      <c r="K72" s="478"/>
      <c r="L72" s="354"/>
      <c r="M72" s="478"/>
      <c r="N72" s="354"/>
      <c r="O72" s="354"/>
      <c r="P72" s="478"/>
      <c r="Q72" s="475" t="s">
        <v>571</v>
      </c>
      <c r="R72" s="478"/>
    </row>
    <row r="73" spans="1:19" s="13" customFormat="1">
      <c r="A73" s="13" t="s">
        <v>146</v>
      </c>
      <c r="B73" s="13" t="s">
        <v>146</v>
      </c>
      <c r="C73" s="13" t="s">
        <v>557</v>
      </c>
      <c r="D73" s="13" t="s">
        <v>43</v>
      </c>
      <c r="E73" s="13" t="s">
        <v>584</v>
      </c>
      <c r="F73" s="36" t="s">
        <v>622</v>
      </c>
      <c r="G73" s="36" t="s">
        <v>95</v>
      </c>
      <c r="H73" s="426">
        <v>63000000</v>
      </c>
      <c r="I73" s="289"/>
      <c r="J73" s="11"/>
      <c r="K73" s="11"/>
      <c r="L73" s="289"/>
      <c r="M73" s="11"/>
      <c r="N73" s="289"/>
      <c r="O73" s="289"/>
      <c r="P73" s="11"/>
      <c r="Q73" s="13" t="s">
        <v>272</v>
      </c>
      <c r="R73" s="93"/>
    </row>
    <row r="74" spans="1:19" s="13" customFormat="1">
      <c r="A74" s="13" t="s">
        <v>146</v>
      </c>
      <c r="B74" s="13" t="s">
        <v>146</v>
      </c>
      <c r="C74" s="13" t="s">
        <v>558</v>
      </c>
      <c r="D74" s="13" t="s">
        <v>43</v>
      </c>
      <c r="E74" s="13" t="s">
        <v>278</v>
      </c>
      <c r="F74" s="36" t="s">
        <v>356</v>
      </c>
      <c r="G74" s="36" t="s">
        <v>79</v>
      </c>
      <c r="H74" s="426">
        <v>40000000</v>
      </c>
      <c r="I74" s="289"/>
      <c r="J74" s="11"/>
      <c r="K74" s="11"/>
      <c r="L74" s="289"/>
      <c r="M74" s="11"/>
      <c r="N74" s="289"/>
      <c r="O74" s="289"/>
      <c r="P74" s="11"/>
      <c r="Q74" s="13" t="s">
        <v>272</v>
      </c>
      <c r="R74" s="93"/>
    </row>
    <row r="75" spans="1:19" s="5" customFormat="1" ht="11.4">
      <c r="A75" s="5" t="s">
        <v>146</v>
      </c>
      <c r="B75" s="5" t="s">
        <v>146</v>
      </c>
      <c r="C75" s="5">
        <v>5282</v>
      </c>
      <c r="D75" s="5" t="s">
        <v>638</v>
      </c>
      <c r="E75" s="5" t="s">
        <v>627</v>
      </c>
      <c r="F75" s="26" t="s">
        <v>628</v>
      </c>
      <c r="G75" s="26" t="s">
        <v>79</v>
      </c>
      <c r="H75" s="352">
        <v>60000000</v>
      </c>
      <c r="I75" s="349">
        <f>H75</f>
        <v>60000000</v>
      </c>
      <c r="J75" s="6">
        <v>44205</v>
      </c>
      <c r="K75" s="6">
        <f>J75+35</f>
        <v>44240</v>
      </c>
      <c r="L75" s="349">
        <v>60000000</v>
      </c>
      <c r="M75" s="6">
        <f>J75+180</f>
        <v>44385</v>
      </c>
      <c r="N75" s="349"/>
      <c r="O75" s="349"/>
      <c r="P75" s="6"/>
      <c r="Q75" s="5" t="s">
        <v>272</v>
      </c>
      <c r="R75" s="142"/>
      <c r="S75" s="381" t="s">
        <v>650</v>
      </c>
    </row>
    <row r="76" spans="1:19" s="5" customFormat="1" ht="11.4">
      <c r="A76" s="5" t="s">
        <v>146</v>
      </c>
      <c r="B76" s="5" t="s">
        <v>146</v>
      </c>
      <c r="C76" s="5">
        <v>5290</v>
      </c>
      <c r="D76" s="5" t="s">
        <v>638</v>
      </c>
      <c r="E76" s="5" t="s">
        <v>651</v>
      </c>
      <c r="F76" s="26" t="s">
        <v>360</v>
      </c>
      <c r="G76" s="26" t="s">
        <v>78</v>
      </c>
      <c r="H76" s="352">
        <v>50000000</v>
      </c>
      <c r="I76" s="349">
        <f>H76</f>
        <v>50000000</v>
      </c>
      <c r="J76" s="6">
        <v>44208</v>
      </c>
      <c r="K76" s="6">
        <f>J76+35</f>
        <v>44243</v>
      </c>
      <c r="L76" s="349">
        <v>50000000</v>
      </c>
      <c r="M76" s="6">
        <f>J76+180</f>
        <v>44388</v>
      </c>
      <c r="N76" s="349"/>
      <c r="O76" s="349"/>
      <c r="P76" s="6"/>
      <c r="Q76" s="5" t="s">
        <v>272</v>
      </c>
      <c r="R76" s="142"/>
      <c r="S76" s="381" t="s">
        <v>667</v>
      </c>
    </row>
    <row r="77" spans="1:19" s="5" customFormat="1" ht="11.4">
      <c r="A77" s="5" t="s">
        <v>146</v>
      </c>
      <c r="B77" s="5" t="s">
        <v>146</v>
      </c>
      <c r="C77" s="5">
        <v>5314</v>
      </c>
      <c r="D77" s="5" t="s">
        <v>638</v>
      </c>
      <c r="E77" s="5" t="s">
        <v>314</v>
      </c>
      <c r="F77" s="26" t="s">
        <v>417</v>
      </c>
      <c r="G77" s="26" t="s">
        <v>280</v>
      </c>
      <c r="H77" s="352">
        <v>50000000</v>
      </c>
      <c r="I77" s="349">
        <f>H77</f>
        <v>50000000</v>
      </c>
      <c r="J77" s="6">
        <v>44218</v>
      </c>
      <c r="K77" s="6">
        <f>J77+35</f>
        <v>44253</v>
      </c>
      <c r="L77" s="349">
        <v>50000000</v>
      </c>
      <c r="M77" s="6">
        <f>J77+180</f>
        <v>44398</v>
      </c>
      <c r="N77" s="349"/>
      <c r="O77" s="349"/>
      <c r="P77" s="6"/>
      <c r="Q77" s="5" t="s">
        <v>272</v>
      </c>
      <c r="R77" s="142"/>
      <c r="S77" s="381" t="s">
        <v>666</v>
      </c>
    </row>
    <row r="78" spans="1:19" s="13" customFormat="1">
      <c r="A78" s="13" t="s">
        <v>146</v>
      </c>
      <c r="B78" s="13" t="s">
        <v>146</v>
      </c>
      <c r="C78" s="13" t="s">
        <v>663</v>
      </c>
      <c r="D78" s="13" t="s">
        <v>43</v>
      </c>
      <c r="E78" s="13" t="s">
        <v>592</v>
      </c>
      <c r="F78" s="36" t="s">
        <v>593</v>
      </c>
      <c r="G78" s="36" t="s">
        <v>594</v>
      </c>
      <c r="H78" s="426">
        <v>49000000</v>
      </c>
      <c r="I78" s="289"/>
      <c r="J78" s="11"/>
      <c r="K78" s="11"/>
      <c r="L78" s="289"/>
      <c r="M78" s="11"/>
      <c r="N78" s="289"/>
      <c r="O78" s="289"/>
      <c r="P78" s="11"/>
      <c r="Q78" s="13" t="s">
        <v>272</v>
      </c>
      <c r="R78" s="93"/>
      <c r="S78" s="475"/>
    </row>
    <row r="79" spans="1:19" s="5" customFormat="1" ht="11.4">
      <c r="A79" s="5" t="s">
        <v>146</v>
      </c>
      <c r="B79" s="5" t="s">
        <v>146</v>
      </c>
      <c r="C79" s="5">
        <v>5321</v>
      </c>
      <c r="D79" s="5" t="s">
        <v>638</v>
      </c>
      <c r="E79" s="5" t="s">
        <v>651</v>
      </c>
      <c r="F79" s="26" t="s">
        <v>354</v>
      </c>
      <c r="G79" s="26" t="s">
        <v>78</v>
      </c>
      <c r="H79" s="352">
        <v>35000000</v>
      </c>
      <c r="I79" s="349">
        <v>35000000</v>
      </c>
      <c r="J79" s="6">
        <v>44238</v>
      </c>
      <c r="K79" s="6">
        <f>J79+35</f>
        <v>44273</v>
      </c>
      <c r="L79" s="349">
        <v>35000000</v>
      </c>
      <c r="M79" s="6">
        <f>J79+180</f>
        <v>44418</v>
      </c>
      <c r="N79" s="349"/>
      <c r="O79" s="349"/>
      <c r="P79" s="6"/>
      <c r="Q79" s="5" t="s">
        <v>272</v>
      </c>
      <c r="R79" s="142"/>
      <c r="S79" s="381" t="s">
        <v>685</v>
      </c>
    </row>
    <row r="80" spans="1:19" s="13" customFormat="1">
      <c r="A80" s="13" t="s">
        <v>146</v>
      </c>
      <c r="B80" s="13" t="s">
        <v>146</v>
      </c>
      <c r="C80" s="13" t="s">
        <v>725</v>
      </c>
      <c r="D80" s="13" t="s">
        <v>43</v>
      </c>
      <c r="E80" s="13" t="s">
        <v>314</v>
      </c>
      <c r="F80" s="36" t="s">
        <v>588</v>
      </c>
      <c r="G80" s="36" t="s">
        <v>80</v>
      </c>
      <c r="H80" s="426">
        <v>30000000</v>
      </c>
      <c r="I80" s="289"/>
      <c r="J80" s="11"/>
      <c r="K80" s="11"/>
      <c r="L80" s="289"/>
      <c r="M80" s="11"/>
      <c r="N80" s="289"/>
      <c r="O80" s="289"/>
      <c r="P80" s="11"/>
      <c r="Q80" s="13" t="s">
        <v>272</v>
      </c>
      <c r="R80" s="93"/>
      <c r="S80" s="475"/>
    </row>
    <row r="81" spans="1:19" s="13" customFormat="1">
      <c r="A81" s="13" t="s">
        <v>146</v>
      </c>
      <c r="B81" s="13" t="s">
        <v>146</v>
      </c>
      <c r="C81" s="13" t="s">
        <v>726</v>
      </c>
      <c r="D81" s="13" t="s">
        <v>43</v>
      </c>
      <c r="E81" s="13" t="s">
        <v>314</v>
      </c>
      <c r="F81" s="36" t="s">
        <v>616</v>
      </c>
      <c r="G81" s="36" t="s">
        <v>80</v>
      </c>
      <c r="H81" s="426">
        <v>30000000</v>
      </c>
      <c r="I81" s="289"/>
      <c r="J81" s="11"/>
      <c r="K81" s="11"/>
      <c r="L81" s="289"/>
      <c r="M81" s="11"/>
      <c r="N81" s="289"/>
      <c r="O81" s="289"/>
      <c r="P81" s="11"/>
      <c r="Q81" s="13" t="s">
        <v>272</v>
      </c>
      <c r="R81" s="93"/>
      <c r="S81" s="475"/>
    </row>
    <row r="82" spans="1:19" s="475" customFormat="1">
      <c r="A82" s="475" t="s">
        <v>146</v>
      </c>
      <c r="B82" s="475" t="s">
        <v>146</v>
      </c>
      <c r="C82" s="475" t="s">
        <v>731</v>
      </c>
      <c r="D82" s="475" t="s">
        <v>43</v>
      </c>
      <c r="E82" s="475" t="s">
        <v>361</v>
      </c>
      <c r="F82" s="477" t="s">
        <v>595</v>
      </c>
      <c r="G82" s="477" t="s">
        <v>152</v>
      </c>
      <c r="H82" s="450">
        <v>100000000</v>
      </c>
      <c r="I82" s="354"/>
      <c r="J82" s="478"/>
      <c r="K82" s="478"/>
      <c r="L82" s="354"/>
      <c r="M82" s="478"/>
      <c r="N82" s="354"/>
      <c r="O82" s="354"/>
      <c r="P82" s="478"/>
      <c r="Q82" s="475" t="s">
        <v>571</v>
      </c>
      <c r="R82" s="480"/>
    </row>
    <row r="83" spans="1:19" s="13" customFormat="1">
      <c r="A83" s="13" t="s">
        <v>146</v>
      </c>
      <c r="B83" s="13" t="s">
        <v>146</v>
      </c>
      <c r="C83" s="13" t="s">
        <v>740</v>
      </c>
      <c r="D83" s="13" t="s">
        <v>43</v>
      </c>
      <c r="E83" s="13" t="s">
        <v>226</v>
      </c>
      <c r="F83" s="36" t="s">
        <v>741</v>
      </c>
      <c r="G83" s="36" t="s">
        <v>233</v>
      </c>
      <c r="H83" s="426">
        <v>35000000</v>
      </c>
      <c r="I83" s="289"/>
      <c r="J83" s="11"/>
      <c r="K83" s="11"/>
      <c r="L83" s="289"/>
      <c r="M83" s="11"/>
      <c r="N83" s="289"/>
      <c r="O83" s="289"/>
      <c r="P83" s="11"/>
      <c r="Q83" s="13" t="s">
        <v>242</v>
      </c>
      <c r="R83" s="93"/>
    </row>
    <row r="84" spans="1:19" s="13" customFormat="1">
      <c r="A84" s="13" t="s">
        <v>146</v>
      </c>
      <c r="B84" s="13" t="s">
        <v>146</v>
      </c>
      <c r="C84" s="13" t="s">
        <v>764</v>
      </c>
      <c r="D84" s="13" t="s">
        <v>43</v>
      </c>
      <c r="E84" s="13" t="s">
        <v>153</v>
      </c>
      <c r="F84" s="36" t="s">
        <v>606</v>
      </c>
      <c r="G84" s="36" t="s">
        <v>81</v>
      </c>
      <c r="H84" s="426">
        <v>50000000</v>
      </c>
      <c r="I84" s="289"/>
      <c r="J84" s="11"/>
      <c r="K84" s="11"/>
      <c r="L84" s="289"/>
      <c r="M84" s="11"/>
      <c r="N84" s="289"/>
      <c r="O84" s="289"/>
      <c r="P84" s="11"/>
      <c r="Q84" s="13" t="s">
        <v>242</v>
      </c>
      <c r="R84" s="93"/>
    </row>
    <row r="85" spans="1:19" s="13" customFormat="1">
      <c r="A85" s="13" t="s">
        <v>146</v>
      </c>
      <c r="B85" s="13" t="s">
        <v>146</v>
      </c>
      <c r="C85" s="13" t="s">
        <v>765</v>
      </c>
      <c r="D85" s="13" t="s">
        <v>43</v>
      </c>
      <c r="E85" s="13" t="s">
        <v>153</v>
      </c>
      <c r="F85" s="36" t="s">
        <v>598</v>
      </c>
      <c r="G85" s="36" t="s">
        <v>81</v>
      </c>
      <c r="H85" s="426">
        <v>35000000</v>
      </c>
      <c r="I85" s="289"/>
      <c r="J85" s="11"/>
      <c r="K85" s="11"/>
      <c r="L85" s="289"/>
      <c r="M85" s="11"/>
      <c r="N85" s="289"/>
      <c r="O85" s="289"/>
      <c r="P85" s="11"/>
      <c r="Q85" s="13" t="s">
        <v>272</v>
      </c>
      <c r="R85" s="93"/>
    </row>
    <row r="86" spans="1:19" s="13" customFormat="1">
      <c r="F86" s="36"/>
      <c r="G86" s="36"/>
      <c r="H86" s="66"/>
      <c r="I86" s="27"/>
      <c r="J86" s="11"/>
      <c r="K86" s="11"/>
      <c r="L86" s="27"/>
      <c r="M86" s="11"/>
      <c r="N86" s="27"/>
      <c r="O86" s="27"/>
      <c r="P86" s="11"/>
      <c r="R86" s="11"/>
    </row>
    <row r="87" spans="1:19" s="13" customFormat="1">
      <c r="A87" s="43"/>
      <c r="B87" s="43"/>
      <c r="C87" s="43"/>
      <c r="D87" s="43"/>
      <c r="E87" s="1"/>
      <c r="F87" s="13" t="s">
        <v>19</v>
      </c>
      <c r="H87" s="263">
        <f>SUM(H7:H86)</f>
        <v>2937658210</v>
      </c>
      <c r="I87" s="263">
        <f>SUM(I7:I86)</f>
        <v>2143658210</v>
      </c>
      <c r="J87" s="3"/>
      <c r="K87" s="1"/>
      <c r="L87" s="263">
        <f>SUM(L7:L86)</f>
        <v>1334452737</v>
      </c>
      <c r="M87" s="3"/>
      <c r="N87" s="263">
        <f>SUM(N7:N86)</f>
        <v>0</v>
      </c>
      <c r="O87" s="263">
        <f>SUM(O7:O86)</f>
        <v>713305473</v>
      </c>
    </row>
    <row r="88" spans="1:19">
      <c r="A88" s="5"/>
      <c r="B88" s="5"/>
      <c r="C88" s="5"/>
      <c r="D88" s="88"/>
      <c r="F88" s="13"/>
      <c r="J88" s="3"/>
      <c r="K88" s="3"/>
      <c r="M88" s="3"/>
    </row>
    <row r="89" spans="1:19">
      <c r="A89" s="5"/>
      <c r="B89" s="5"/>
      <c r="C89" s="5"/>
      <c r="E89" s="5"/>
      <c r="F89" s="13" t="s">
        <v>43</v>
      </c>
      <c r="G89" s="5"/>
      <c r="H89" s="34">
        <f>H87-I87</f>
        <v>794000000</v>
      </c>
      <c r="I89" s="9"/>
      <c r="J89" s="3"/>
      <c r="K89" s="3"/>
      <c r="M89" s="76"/>
    </row>
    <row r="90" spans="1:19">
      <c r="A90" s="5"/>
      <c r="B90" s="5"/>
      <c r="C90" s="5"/>
      <c r="E90" s="5"/>
      <c r="G90" s="5"/>
      <c r="H90" s="67"/>
      <c r="I90" s="9"/>
      <c r="J90" s="3"/>
      <c r="K90" s="3"/>
      <c r="L90" s="3"/>
      <c r="M90" s="76"/>
      <c r="O90" s="3"/>
    </row>
    <row r="91" spans="1:19">
      <c r="A91" s="5"/>
      <c r="B91" s="5"/>
      <c r="C91" s="5"/>
      <c r="E91" s="133"/>
      <c r="F91" s="58" t="s">
        <v>75</v>
      </c>
      <c r="G91" s="5"/>
      <c r="H91" s="77">
        <f>E1-I87+O87+G104</f>
        <v>23650632</v>
      </c>
      <c r="I91" s="195"/>
      <c r="J91" s="3"/>
      <c r="K91" s="3"/>
      <c r="L91" s="3"/>
      <c r="M91" s="3"/>
      <c r="N91" s="9"/>
    </row>
    <row r="92" spans="1:19">
      <c r="A92" s="5"/>
      <c r="B92" s="5"/>
      <c r="C92" s="5"/>
      <c r="H92" s="251"/>
      <c r="J92" s="353"/>
      <c r="K92" s="3"/>
      <c r="L92" s="257"/>
      <c r="M92" s="3"/>
      <c r="N92" s="9"/>
    </row>
    <row r="93" spans="1:19">
      <c r="A93" s="5"/>
      <c r="B93" s="5"/>
      <c r="C93" s="5"/>
      <c r="H93" s="83"/>
      <c r="I93" s="171"/>
      <c r="J93" s="3"/>
      <c r="K93" s="3"/>
      <c r="L93" s="257"/>
      <c r="M93" s="3"/>
      <c r="N93" s="83"/>
    </row>
    <row r="94" spans="1:19" s="13" customFormat="1">
      <c r="G94" s="148"/>
      <c r="H94" s="361"/>
      <c r="I94" s="314"/>
      <c r="J94" s="3"/>
      <c r="K94" s="11"/>
      <c r="L94" s="464"/>
      <c r="M94" s="11"/>
      <c r="N94" s="49"/>
      <c r="P94" s="11"/>
      <c r="R94" s="43"/>
    </row>
    <row r="95" spans="1:19" s="13" customFormat="1">
      <c r="C95" s="43"/>
      <c r="D95" s="1"/>
      <c r="E95" s="148"/>
      <c r="F95" s="43"/>
      <c r="G95" s="9"/>
      <c r="H95" s="210"/>
      <c r="I95" s="314"/>
      <c r="J95" s="3"/>
      <c r="K95" s="412"/>
      <c r="L95" s="350"/>
      <c r="M95" s="10"/>
      <c r="N95" s="10"/>
      <c r="O95" s="10"/>
      <c r="P95" s="11"/>
      <c r="R95" s="43"/>
    </row>
    <row r="96" spans="1:19" s="13" customFormat="1">
      <c r="C96" s="43">
        <v>5081</v>
      </c>
      <c r="D96" s="43" t="s">
        <v>77</v>
      </c>
      <c r="E96" s="148" t="s">
        <v>158</v>
      </c>
      <c r="F96" s="148" t="s">
        <v>94</v>
      </c>
      <c r="G96" s="9">
        <v>15000000</v>
      </c>
      <c r="H96" s="210" t="s">
        <v>645</v>
      </c>
      <c r="I96" s="314"/>
      <c r="J96" s="3"/>
      <c r="K96" s="11"/>
      <c r="L96" s="361"/>
      <c r="M96" s="49"/>
      <c r="N96" s="361"/>
      <c r="O96" s="289"/>
      <c r="P96" s="11"/>
      <c r="R96" s="43"/>
    </row>
    <row r="97" spans="3:18" s="13" customFormat="1">
      <c r="C97" s="43">
        <v>4903</v>
      </c>
      <c r="D97" s="43" t="s">
        <v>77</v>
      </c>
      <c r="E97" s="148" t="s">
        <v>161</v>
      </c>
      <c r="F97" s="148" t="s">
        <v>296</v>
      </c>
      <c r="G97" s="9">
        <v>6500000</v>
      </c>
      <c r="H97" s="210" t="s">
        <v>646</v>
      </c>
      <c r="I97" s="314"/>
      <c r="J97" s="359"/>
      <c r="K97" s="11"/>
      <c r="L97" s="361"/>
      <c r="M97" s="49"/>
      <c r="N97" s="361"/>
      <c r="O97" s="289"/>
      <c r="P97" s="11"/>
      <c r="R97" s="43"/>
    </row>
    <row r="98" spans="3:18" s="13" customFormat="1">
      <c r="C98" s="43">
        <v>5199</v>
      </c>
      <c r="D98" s="43" t="s">
        <v>77</v>
      </c>
      <c r="E98" s="148" t="s">
        <v>627</v>
      </c>
      <c r="F98" s="148" t="s">
        <v>296</v>
      </c>
      <c r="G98" s="9">
        <v>60000000</v>
      </c>
      <c r="H98" s="210" t="s">
        <v>649</v>
      </c>
      <c r="I98" s="314"/>
      <c r="J98" s="361"/>
      <c r="K98" s="11"/>
      <c r="L98" s="361"/>
      <c r="M98" s="49"/>
      <c r="N98" s="361"/>
      <c r="O98" s="289"/>
      <c r="P98" s="11"/>
      <c r="R98" s="43"/>
    </row>
    <row r="99" spans="3:18" s="13" customFormat="1">
      <c r="C99" s="43">
        <v>5243</v>
      </c>
      <c r="D99" s="43" t="s">
        <v>77</v>
      </c>
      <c r="E99" s="148" t="s">
        <v>282</v>
      </c>
      <c r="F99" s="148" t="s">
        <v>94</v>
      </c>
      <c r="G99" s="9">
        <v>50000000</v>
      </c>
      <c r="H99" s="288" t="s">
        <v>654</v>
      </c>
      <c r="I99" s="314"/>
      <c r="J99" s="361"/>
      <c r="K99" s="11"/>
      <c r="L99" s="361"/>
      <c r="M99" s="49"/>
      <c r="N99" s="361"/>
      <c r="O99" s="289"/>
      <c r="P99" s="11"/>
      <c r="R99" s="43"/>
    </row>
    <row r="100" spans="3:18" s="13" customFormat="1">
      <c r="C100" s="43">
        <v>5239</v>
      </c>
      <c r="D100" s="43" t="s">
        <v>77</v>
      </c>
      <c r="E100" s="148" t="s">
        <v>314</v>
      </c>
      <c r="F100" s="148" t="s">
        <v>94</v>
      </c>
      <c r="G100" s="9">
        <v>50000000</v>
      </c>
      <c r="H100" s="288" t="s">
        <v>665</v>
      </c>
      <c r="I100" s="314"/>
      <c r="J100" s="361"/>
      <c r="K100" s="11"/>
      <c r="L100" s="361"/>
      <c r="M100" s="49"/>
      <c r="N100" s="361"/>
      <c r="O100" s="289"/>
      <c r="P100" s="11"/>
      <c r="R100" s="43"/>
    </row>
    <row r="101" spans="3:18" s="13" customFormat="1">
      <c r="C101" s="43">
        <v>5259</v>
      </c>
      <c r="D101" s="43" t="s">
        <v>77</v>
      </c>
      <c r="E101" s="148" t="s">
        <v>282</v>
      </c>
      <c r="F101" s="148" t="s">
        <v>94</v>
      </c>
      <c r="G101" s="9">
        <v>35000000</v>
      </c>
      <c r="H101" s="288" t="s">
        <v>684</v>
      </c>
      <c r="I101" s="314"/>
      <c r="J101" s="361"/>
      <c r="K101" s="11"/>
      <c r="L101" s="361"/>
      <c r="M101" s="49"/>
      <c r="N101" s="361"/>
      <c r="O101" s="289"/>
      <c r="P101" s="11"/>
      <c r="R101" s="43"/>
    </row>
    <row r="102" spans="3:18" s="13" customFormat="1">
      <c r="C102" s="43">
        <v>5212</v>
      </c>
      <c r="D102" s="43" t="s">
        <v>77</v>
      </c>
      <c r="E102" s="148" t="s">
        <v>223</v>
      </c>
      <c r="F102" s="148" t="s">
        <v>94</v>
      </c>
      <c r="G102" s="9">
        <v>2500000</v>
      </c>
      <c r="H102" s="288" t="s">
        <v>761</v>
      </c>
      <c r="I102" s="314"/>
      <c r="J102" s="361"/>
      <c r="K102" s="11"/>
      <c r="L102" s="361"/>
      <c r="M102" s="49"/>
      <c r="N102" s="361"/>
      <c r="O102" s="289"/>
      <c r="P102" s="11"/>
      <c r="R102" s="43"/>
    </row>
    <row r="103" spans="3:18" s="13" customFormat="1">
      <c r="C103" s="43">
        <v>5268</v>
      </c>
      <c r="D103" s="43" t="s">
        <v>77</v>
      </c>
      <c r="E103" s="148" t="s">
        <v>83</v>
      </c>
      <c r="F103" s="148" t="s">
        <v>759</v>
      </c>
      <c r="G103" s="453">
        <v>35000000</v>
      </c>
      <c r="H103" s="288" t="s">
        <v>760</v>
      </c>
      <c r="I103" s="314"/>
      <c r="J103" s="361"/>
      <c r="K103" s="11"/>
      <c r="L103" s="361"/>
      <c r="M103" s="49"/>
      <c r="N103" s="361"/>
      <c r="O103" s="289"/>
      <c r="P103" s="11"/>
      <c r="R103" s="43"/>
    </row>
    <row r="104" spans="3:18">
      <c r="E104" s="43"/>
      <c r="G104" s="301">
        <f>SUM(G96:G103)</f>
        <v>254000000</v>
      </c>
      <c r="H104" s="3"/>
      <c r="I104" s="3"/>
      <c r="M104" s="395"/>
      <c r="N104" s="167"/>
    </row>
    <row r="105" spans="3:18">
      <c r="E105" s="43"/>
      <c r="I105" s="83"/>
      <c r="M105" s="395"/>
      <c r="N105" s="469"/>
      <c r="Q105" s="1"/>
    </row>
    <row r="106" spans="3:18">
      <c r="J106" s="3"/>
      <c r="N106" s="470"/>
      <c r="Q106" s="1"/>
    </row>
    <row r="107" spans="3:18">
      <c r="J107" s="3"/>
      <c r="Q107" s="1"/>
    </row>
    <row r="108" spans="3:18">
      <c r="J108" s="3"/>
      <c r="Q108" s="1"/>
    </row>
    <row r="109" spans="3:18">
      <c r="J109" s="3"/>
      <c r="Q109" s="1"/>
    </row>
    <row r="110" spans="3:18">
      <c r="G110" s="167"/>
      <c r="Q110" s="1"/>
    </row>
    <row r="111" spans="3:18">
      <c r="G111" s="14"/>
      <c r="H111" s="1"/>
      <c r="Q111" s="1"/>
    </row>
    <row r="112" spans="3:18">
      <c r="G112" s="395"/>
      <c r="Q112" s="1"/>
    </row>
    <row r="113" spans="7:17">
      <c r="G113" s="3"/>
      <c r="H113" s="3"/>
      <c r="I113" s="3"/>
      <c r="J113" s="3"/>
      <c r="K113" s="3"/>
      <c r="L113" s="3"/>
      <c r="M113" s="3"/>
      <c r="Q113" s="1"/>
    </row>
    <row r="114" spans="7:17">
      <c r="G114" s="3"/>
      <c r="H114" s="3"/>
      <c r="I114" s="3"/>
      <c r="J114" s="3"/>
      <c r="K114" s="3"/>
      <c r="L114" s="3"/>
      <c r="M114" s="3"/>
      <c r="Q114" s="1"/>
    </row>
    <row r="115" spans="7:17">
      <c r="H115" s="1"/>
      <c r="L115" s="1"/>
      <c r="Q115" s="1"/>
    </row>
    <row r="116" spans="7:17">
      <c r="H116" s="1"/>
      <c r="L116" s="1"/>
      <c r="Q116" s="1"/>
    </row>
    <row r="117" spans="7:17">
      <c r="H117" s="1"/>
      <c r="L117" s="1"/>
      <c r="Q117" s="1"/>
    </row>
    <row r="118" spans="7:17">
      <c r="G118" s="168"/>
      <c r="H118" s="168"/>
      <c r="I118" s="168"/>
      <c r="J118" s="168"/>
      <c r="K118" s="168"/>
      <c r="L118" s="168"/>
      <c r="M118" s="168"/>
      <c r="Q118" s="1"/>
    </row>
    <row r="119" spans="7:17">
      <c r="G119" s="168"/>
      <c r="H119" s="168"/>
      <c r="I119" s="168"/>
      <c r="J119" s="168"/>
      <c r="K119" s="168"/>
      <c r="L119" s="168"/>
      <c r="M119" s="168"/>
      <c r="Q119" s="1"/>
    </row>
    <row r="120" spans="7:17">
      <c r="G120" s="167"/>
      <c r="Q120" s="1"/>
    </row>
    <row r="121" spans="7:17">
      <c r="G121" s="396"/>
      <c r="H121" s="1"/>
      <c r="L121" s="1"/>
      <c r="Q121" s="1"/>
    </row>
    <row r="122" spans="7:17">
      <c r="G122" s="397"/>
      <c r="H122" s="1"/>
      <c r="L122" s="1"/>
      <c r="Q122" s="1"/>
    </row>
    <row r="124" spans="7:17">
      <c r="G124" s="168"/>
      <c r="H124" s="1"/>
      <c r="L124" s="1"/>
      <c r="Q124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9.375" customWidth="1"/>
    <col min="15" max="15" width="9.125" customWidth="1"/>
    <col min="16" max="16" width="6.375" customWidth="1"/>
    <col min="17" max="17" width="12.25" bestFit="1" customWidth="1"/>
    <col min="18" max="19" width="2.75" customWidth="1"/>
    <col min="20" max="20" width="26.25" bestFit="1" customWidth="1"/>
  </cols>
  <sheetData>
    <row r="1" spans="1:20" ht="13.2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442</v>
      </c>
    </row>
    <row r="5" spans="1:20" ht="12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29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6"/>
    </row>
    <row r="11" spans="1:20" ht="12" thickBot="1">
      <c r="F11" s="198"/>
    </row>
    <row r="12" spans="1:20" ht="13.2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3.2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3.2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 ht="12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 ht="12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 ht="12">
      <c r="F19" s="185"/>
      <c r="G19" s="185"/>
      <c r="H19" s="185"/>
      <c r="I19" s="185"/>
      <c r="J19" s="194">
        <f>SUM(J17:J18)</f>
        <v>0</v>
      </c>
      <c r="K19" s="330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 ht="12">
      <c r="F20" s="185"/>
      <c r="G20" s="185"/>
      <c r="H20" s="290"/>
      <c r="I20" s="185"/>
      <c r="J20" s="185"/>
      <c r="K20" s="185"/>
      <c r="N20" s="152"/>
    </row>
    <row r="21" spans="1:20" ht="12.6" thickBot="1">
      <c r="F21" s="185"/>
      <c r="G21" s="185"/>
      <c r="H21" s="290"/>
      <c r="I21" s="185"/>
      <c r="J21" s="185"/>
      <c r="K21" s="185"/>
      <c r="N21" s="152"/>
    </row>
    <row r="22" spans="1:20" ht="12">
      <c r="A22" s="169" t="s">
        <v>94</v>
      </c>
      <c r="F22" s="185"/>
      <c r="G22" s="188"/>
      <c r="H22" s="152"/>
      <c r="I22" s="185"/>
      <c r="J22" s="185"/>
      <c r="K22" s="290"/>
      <c r="N22" s="152"/>
    </row>
    <row r="23" spans="1:20" ht="12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482">
        <v>35000000</v>
      </c>
      <c r="M23" s="483">
        <f>J23-L23</f>
        <v>0</v>
      </c>
      <c r="N23" s="484">
        <v>44142</v>
      </c>
      <c r="O23" s="485" t="s">
        <v>439</v>
      </c>
      <c r="T23" s="124">
        <f>M23+35000000</f>
        <v>35000000</v>
      </c>
    </row>
    <row r="24" spans="1:20" ht="12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354">
        <v>6500000</v>
      </c>
      <c r="M24" s="514">
        <f t="shared" ref="M24" si="1">J24-L24</f>
        <v>0</v>
      </c>
      <c r="N24" s="515">
        <v>44205</v>
      </c>
      <c r="O24" s="210" t="s">
        <v>646</v>
      </c>
      <c r="T24" s="124">
        <f>M24</f>
        <v>0</v>
      </c>
    </row>
    <row r="25" spans="1:20" ht="12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 ht="12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 ht="12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41500000</v>
      </c>
      <c r="M27" s="77">
        <f>SUM(M23:M26)</f>
        <v>20000318.550000001</v>
      </c>
      <c r="N27" s="152"/>
      <c r="T27" s="77">
        <f>SUM(T23:T26)</f>
        <v>55000318.549999997</v>
      </c>
    </row>
    <row r="28" spans="1:20" ht="12.6" thickBot="1">
      <c r="F28" s="185"/>
      <c r="G28" s="185"/>
      <c r="H28" s="185"/>
      <c r="I28" s="185"/>
      <c r="J28" s="185"/>
      <c r="K28" s="290"/>
      <c r="M28" s="193"/>
      <c r="N28" s="152"/>
    </row>
    <row r="29" spans="1:20" ht="12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 ht="12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2">
        <v>94065843.159999996</v>
      </c>
      <c r="G30" s="82">
        <v>94065843.159999996</v>
      </c>
      <c r="H30" s="293">
        <v>43417</v>
      </c>
      <c r="I30" s="152">
        <v>43452</v>
      </c>
      <c r="J30" s="393">
        <v>65843.159999996424</v>
      </c>
      <c r="K30" s="293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 ht="12">
      <c r="N31" s="152"/>
    </row>
    <row r="32" spans="1:20" ht="12">
      <c r="I32" s="198"/>
      <c r="J32" s="346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 ht="12">
      <c r="I33" s="198"/>
      <c r="N33" s="152"/>
    </row>
    <row r="34" spans="7:20">
      <c r="G34" s="269"/>
    </row>
    <row r="35" spans="7:20" ht="12.6" thickBot="1">
      <c r="G35" s="269"/>
      <c r="J35" s="345">
        <f>J8+J19+J27+J32</f>
        <v>96566161.709999993</v>
      </c>
      <c r="M35" s="345">
        <f>M32+M27+M19+M8</f>
        <v>55066161.709999993</v>
      </c>
      <c r="O35" s="265"/>
      <c r="P35" s="265"/>
      <c r="Q35" s="265"/>
      <c r="R35" s="265"/>
      <c r="T35" s="417">
        <f>T8+T19+T27+T32</f>
        <v>90066161.709999993</v>
      </c>
    </row>
    <row r="36" spans="7:20" ht="12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zoomScaleNormal="100" workbookViewId="0">
      <selection activeCell="M46" sqref="M46"/>
    </sheetView>
  </sheetViews>
  <sheetFormatPr defaultRowHeight="11.4"/>
  <cols>
    <col min="1" max="1" width="9.75" style="558" customWidth="1"/>
    <col min="2" max="2" width="9.25" customWidth="1"/>
    <col min="3" max="3" width="28.7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0.875" customWidth="1"/>
    <col min="16" max="16" width="13.625" bestFit="1" customWidth="1"/>
    <col min="17" max="17" width="12.75" customWidth="1"/>
    <col min="18" max="19" width="3" customWidth="1"/>
    <col min="20" max="20" width="26.75" bestFit="1" customWidth="1"/>
  </cols>
  <sheetData>
    <row r="1" spans="1:20" ht="13.2">
      <c r="A1" s="557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442</v>
      </c>
    </row>
    <row r="5" spans="1:20">
      <c r="A5" s="31" t="s">
        <v>259</v>
      </c>
    </row>
    <row r="6" spans="1:20" s="186" customFormat="1" ht="12">
      <c r="A6" s="5" t="s">
        <v>374</v>
      </c>
      <c r="B6" s="5" t="s">
        <v>77</v>
      </c>
      <c r="C6" s="5" t="s">
        <v>76</v>
      </c>
      <c r="D6" s="5" t="s">
        <v>332</v>
      </c>
      <c r="E6" s="5" t="s">
        <v>78</v>
      </c>
      <c r="F6" s="349">
        <v>50000000</v>
      </c>
      <c r="G6" s="349">
        <f>F6</f>
        <v>50000000</v>
      </c>
      <c r="H6" s="7">
        <v>43831</v>
      </c>
      <c r="I6" s="7">
        <v>43838</v>
      </c>
      <c r="J6" s="349">
        <v>50000000</v>
      </c>
      <c r="K6" s="7">
        <v>44925</v>
      </c>
      <c r="L6" s="349">
        <v>0</v>
      </c>
      <c r="M6" s="349">
        <f t="shared" ref="M6:M13" si="0">J6-L6</f>
        <v>50000000</v>
      </c>
      <c r="N6" s="7"/>
      <c r="O6" s="5">
        <v>3</v>
      </c>
      <c r="P6" s="5">
        <v>300</v>
      </c>
      <c r="Q6" s="6">
        <v>43818</v>
      </c>
      <c r="R6" s="428"/>
      <c r="T6" s="62">
        <f>M6</f>
        <v>50000000</v>
      </c>
    </row>
    <row r="7" spans="1:20" s="186" customFormat="1" ht="12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49">
        <v>29000000</v>
      </c>
      <c r="G7" s="349">
        <f>F7</f>
        <v>29000000</v>
      </c>
      <c r="H7" s="7">
        <v>43831</v>
      </c>
      <c r="I7" s="7">
        <v>43838</v>
      </c>
      <c r="J7" s="349">
        <v>29000000</v>
      </c>
      <c r="K7" s="7">
        <v>44925</v>
      </c>
      <c r="L7" s="349">
        <v>0</v>
      </c>
      <c r="M7" s="349">
        <f t="shared" si="0"/>
        <v>29000000</v>
      </c>
      <c r="N7" s="7"/>
      <c r="O7" s="5">
        <v>3</v>
      </c>
      <c r="P7" s="5">
        <v>164</v>
      </c>
      <c r="Q7" s="6">
        <v>43818</v>
      </c>
      <c r="R7" s="428"/>
      <c r="T7" s="62">
        <f t="shared" ref="T7:T14" si="1">M7</f>
        <v>29000000</v>
      </c>
    </row>
    <row r="8" spans="1:20" ht="12">
      <c r="A8" s="31"/>
      <c r="H8" s="3"/>
      <c r="I8" s="3"/>
      <c r="K8" s="200"/>
      <c r="M8" s="349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49"/>
      <c r="P9" s="13"/>
      <c r="Q9" s="13"/>
      <c r="T9" s="62"/>
    </row>
    <row r="10" spans="1:20" s="186" customFormat="1" ht="12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49">
        <v>50000000</v>
      </c>
      <c r="G10" s="349">
        <f t="shared" ref="G10:G12" si="2">F10</f>
        <v>50000000</v>
      </c>
      <c r="H10" s="7">
        <v>43831</v>
      </c>
      <c r="I10" s="7">
        <v>43838</v>
      </c>
      <c r="J10" s="349">
        <v>50000000</v>
      </c>
      <c r="K10" s="7">
        <v>44925</v>
      </c>
      <c r="L10" s="349">
        <v>0</v>
      </c>
      <c r="M10" s="349">
        <f t="shared" si="0"/>
        <v>50000000</v>
      </c>
      <c r="N10" s="7"/>
      <c r="O10" s="5">
        <v>3</v>
      </c>
      <c r="P10" s="5">
        <v>390</v>
      </c>
      <c r="Q10" s="6">
        <v>43466</v>
      </c>
      <c r="R10" s="428"/>
      <c r="T10" s="62">
        <f t="shared" si="1"/>
        <v>50000000</v>
      </c>
    </row>
    <row r="11" spans="1:20" s="186" customFormat="1" ht="12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49">
        <v>61260326</v>
      </c>
      <c r="G11" s="349">
        <f t="shared" si="2"/>
        <v>61260326</v>
      </c>
      <c r="H11" s="7">
        <v>43831</v>
      </c>
      <c r="I11" s="7">
        <v>43838</v>
      </c>
      <c r="J11" s="349">
        <f>G11</f>
        <v>61260326</v>
      </c>
      <c r="K11" s="7">
        <v>44925</v>
      </c>
      <c r="L11" s="349">
        <v>0</v>
      </c>
      <c r="M11" s="349">
        <f t="shared" si="0"/>
        <v>61260326</v>
      </c>
      <c r="N11" s="7"/>
      <c r="O11" s="5">
        <v>2</v>
      </c>
      <c r="P11" s="5">
        <v>368</v>
      </c>
      <c r="Q11" s="6">
        <v>43466</v>
      </c>
      <c r="R11" s="428"/>
      <c r="T11" s="62">
        <f t="shared" si="1"/>
        <v>61260326</v>
      </c>
    </row>
    <row r="12" spans="1:20" s="186" customFormat="1" ht="12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49">
        <v>30000000</v>
      </c>
      <c r="G12" s="349">
        <f t="shared" si="2"/>
        <v>30000000</v>
      </c>
      <c r="H12" s="7">
        <v>43831</v>
      </c>
      <c r="I12" s="7">
        <v>43838</v>
      </c>
      <c r="J12" s="349">
        <v>30000000</v>
      </c>
      <c r="K12" s="7">
        <v>44925</v>
      </c>
      <c r="L12" s="349">
        <v>0</v>
      </c>
      <c r="M12" s="349">
        <f t="shared" si="0"/>
        <v>30000000</v>
      </c>
      <c r="N12" s="7"/>
      <c r="O12" s="5">
        <v>2</v>
      </c>
      <c r="P12" s="5">
        <v>184</v>
      </c>
      <c r="Q12" s="6">
        <v>43466</v>
      </c>
      <c r="R12" s="428"/>
      <c r="T12" s="62">
        <f t="shared" si="1"/>
        <v>30000000</v>
      </c>
    </row>
    <row r="13" spans="1:20" ht="12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44065</v>
      </c>
      <c r="O13" s="13">
        <v>3</v>
      </c>
      <c r="P13" s="13">
        <v>240</v>
      </c>
      <c r="Q13" s="11">
        <v>43813</v>
      </c>
      <c r="R13" s="462"/>
      <c r="T13" s="425">
        <f t="shared" si="1"/>
        <v>540000</v>
      </c>
    </row>
    <row r="14" spans="1:20" s="186" customFormat="1" ht="12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49">
        <v>12000000</v>
      </c>
      <c r="G14" s="429">
        <v>11115876.799999714</v>
      </c>
      <c r="H14" s="7">
        <v>43839</v>
      </c>
      <c r="I14" s="7">
        <v>43847</v>
      </c>
      <c r="J14" s="429">
        <f>G14</f>
        <v>11115876.799999714</v>
      </c>
      <c r="K14" s="7">
        <v>44925</v>
      </c>
      <c r="L14" s="349">
        <v>0</v>
      </c>
      <c r="M14" s="429">
        <f>J14-L14</f>
        <v>11115876.799999714</v>
      </c>
      <c r="N14" s="7"/>
      <c r="O14" s="5">
        <v>3</v>
      </c>
      <c r="P14" s="5">
        <v>64</v>
      </c>
      <c r="Q14" s="6">
        <v>43818</v>
      </c>
      <c r="R14" s="428"/>
      <c r="T14" s="437">
        <f t="shared" si="1"/>
        <v>11115876.799999714</v>
      </c>
    </row>
    <row r="16" spans="1:20" ht="12">
      <c r="F16" s="194">
        <f>SUM(F6:F14)</f>
        <v>270260326</v>
      </c>
      <c r="G16" s="329">
        <f>SUM(G6:G14)</f>
        <v>269376202.79999971</v>
      </c>
      <c r="H16" s="133"/>
      <c r="I16" s="133"/>
      <c r="J16" s="329">
        <f>SUM(J6:J14)</f>
        <v>231916202.79999971</v>
      </c>
      <c r="K16" s="133"/>
      <c r="L16" s="194">
        <f>SUM(L6:L14)</f>
        <v>0</v>
      </c>
      <c r="M16" s="329">
        <f>SUM(M6:M14)</f>
        <v>231916202.79999971</v>
      </c>
      <c r="T16" s="329">
        <f>SUM(T6:T14)</f>
        <v>231916202.79999971</v>
      </c>
    </row>
    <row r="17" spans="1:20" ht="12" thickBot="1">
      <c r="L17" s="465"/>
    </row>
    <row r="18" spans="1:20" ht="13.2">
      <c r="A18" s="557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3.2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3.2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8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559" t="s">
        <v>56</v>
      </c>
    </row>
    <row r="23" spans="1:20">
      <c r="A23" s="5"/>
      <c r="H23" s="200"/>
      <c r="L23" s="198"/>
    </row>
    <row r="24" spans="1:20" ht="12">
      <c r="A24" s="1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562">
        <f>143868101.05+179845000</f>
        <v>323713101.05000001</v>
      </c>
      <c r="M24" s="563">
        <f t="shared" ref="M24:M25" si="3">J24-L24</f>
        <v>63745853.949999988</v>
      </c>
      <c r="N24" s="515">
        <v>44299</v>
      </c>
      <c r="O24" s="43" t="s">
        <v>686</v>
      </c>
      <c r="P24" s="210" t="s">
        <v>755</v>
      </c>
      <c r="T24" s="438">
        <f>M24</f>
        <v>63745853.949999988</v>
      </c>
    </row>
    <row r="25" spans="1:20" ht="12">
      <c r="A25" s="1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8">
        <f t="shared" ref="T25:T30" si="4">M25</f>
        <v>20597955.649999999</v>
      </c>
    </row>
    <row r="26" spans="1:20" ht="12">
      <c r="A26" s="13">
        <v>5064</v>
      </c>
      <c r="B26" s="43" t="s">
        <v>77</v>
      </c>
      <c r="C26" s="148" t="s">
        <v>150</v>
      </c>
      <c r="D26" s="148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0">
        <v>0</v>
      </c>
      <c r="M26" s="83">
        <f>J26-L26</f>
        <v>628.40000000596046</v>
      </c>
      <c r="N26" s="152">
        <v>43907</v>
      </c>
      <c r="O26" s="43"/>
      <c r="Q26" s="366"/>
      <c r="T26" s="439">
        <f t="shared" si="4"/>
        <v>628.40000000596046</v>
      </c>
    </row>
    <row r="27" spans="1:20" ht="12">
      <c r="A27" s="1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8">
        <f t="shared" si="4"/>
        <v>61000000</v>
      </c>
    </row>
    <row r="28" spans="1:20" ht="12">
      <c r="A28" s="1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8">
        <f t="shared" si="4"/>
        <v>10000000</v>
      </c>
    </row>
    <row r="29" spans="1:20" ht="12">
      <c r="A29" s="1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8">
        <f t="shared" si="4"/>
        <v>20000000</v>
      </c>
    </row>
    <row r="30" spans="1:20" ht="12">
      <c r="A30" s="1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8">
        <f t="shared" si="4"/>
        <v>128717758.63</v>
      </c>
    </row>
    <row r="31" spans="1:20" ht="12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 ht="12">
      <c r="F32" s="185"/>
      <c r="G32" s="185"/>
      <c r="H32" s="185"/>
      <c r="I32" s="185"/>
      <c r="J32" s="329">
        <f>SUM(J24:J30)</f>
        <v>627775297.67999995</v>
      </c>
      <c r="K32" s="416"/>
      <c r="L32" s="329">
        <f>SUM(L24:L30)</f>
        <v>323713101.05000001</v>
      </c>
      <c r="M32" s="329">
        <f>SUM(M24:M30)</f>
        <v>304062196.63</v>
      </c>
      <c r="N32" s="152"/>
      <c r="T32" s="329">
        <f>SUM(T24:T30)</f>
        <v>304062196.63</v>
      </c>
    </row>
    <row r="33" spans="1:20" ht="12.6" thickBot="1">
      <c r="F33" s="185"/>
      <c r="G33" s="443"/>
      <c r="H33" s="185"/>
      <c r="I33" s="185"/>
      <c r="J33" s="185"/>
      <c r="K33" s="185"/>
      <c r="L33" s="193"/>
      <c r="M33" s="198"/>
      <c r="N33" s="152"/>
    </row>
    <row r="34" spans="1:20" ht="12">
      <c r="A34" s="560" t="s">
        <v>94</v>
      </c>
      <c r="F34" s="185"/>
      <c r="G34" s="188"/>
      <c r="H34" s="152"/>
      <c r="I34" s="185"/>
      <c r="J34" s="185"/>
      <c r="K34" s="290"/>
      <c r="L34" s="366"/>
      <c r="N34" s="152"/>
    </row>
    <row r="35" spans="1:20" s="430" customFormat="1" ht="12">
      <c r="A35" s="527">
        <v>5071</v>
      </c>
      <c r="B35" s="431" t="s">
        <v>77</v>
      </c>
      <c r="C35" s="432" t="s">
        <v>268</v>
      </c>
      <c r="D35" s="432" t="s">
        <v>94</v>
      </c>
      <c r="E35" s="432" t="s">
        <v>217</v>
      </c>
      <c r="F35" s="433">
        <v>48000000</v>
      </c>
      <c r="G35" s="433">
        <v>48000000</v>
      </c>
      <c r="H35" s="434">
        <v>43698</v>
      </c>
      <c r="I35" s="435">
        <v>43733</v>
      </c>
      <c r="J35" s="433">
        <v>18910000</v>
      </c>
      <c r="K35" s="435">
        <v>44925</v>
      </c>
      <c r="L35" s="533">
        <v>18910000</v>
      </c>
      <c r="M35" s="433">
        <f t="shared" ref="M35:M38" si="6">J35-L35</f>
        <v>0</v>
      </c>
      <c r="N35" s="435">
        <v>44247</v>
      </c>
      <c r="O35" s="431" t="s">
        <v>425</v>
      </c>
      <c r="P35" s="43"/>
      <c r="T35" s="436">
        <f>M35</f>
        <v>0</v>
      </c>
    </row>
    <row r="36" spans="1:20" ht="12">
      <c r="A36" s="1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486">
        <v>52000000</v>
      </c>
      <c r="M36" s="483">
        <f t="shared" si="6"/>
        <v>0</v>
      </c>
      <c r="N36" s="484">
        <v>44146</v>
      </c>
      <c r="O36" s="485" t="s">
        <v>441</v>
      </c>
      <c r="T36" s="425">
        <f>M36+52000000</f>
        <v>52000000</v>
      </c>
    </row>
    <row r="37" spans="1:20" ht="12">
      <c r="A37" s="1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5">
        <f>M37</f>
        <v>35000000</v>
      </c>
    </row>
    <row r="38" spans="1:20" ht="12">
      <c r="A38" s="1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354">
        <v>15000000</v>
      </c>
      <c r="M38" s="514">
        <f t="shared" si="6"/>
        <v>0</v>
      </c>
      <c r="N38" s="515">
        <v>44205</v>
      </c>
      <c r="O38" s="210" t="s">
        <v>645</v>
      </c>
      <c r="T38" s="425">
        <f>M38</f>
        <v>0</v>
      </c>
    </row>
    <row r="39" spans="1:20" ht="12">
      <c r="A39" s="1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43935</v>
      </c>
      <c r="T39" s="425">
        <f t="shared" ref="T39:T41" si="8">M39</f>
        <v>8500000</v>
      </c>
    </row>
    <row r="40" spans="1:20" ht="12">
      <c r="A40" s="1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5">
        <f t="shared" si="8"/>
        <v>45000000</v>
      </c>
    </row>
    <row r="41" spans="1:20" ht="12">
      <c r="A41" s="1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354">
        <v>2000000</v>
      </c>
      <c r="M41" s="514">
        <f t="shared" si="7"/>
        <v>4000000</v>
      </c>
      <c r="N41" s="515">
        <v>44294</v>
      </c>
      <c r="O41" s="210" t="s">
        <v>753</v>
      </c>
      <c r="T41" s="425">
        <f t="shared" si="8"/>
        <v>4000000</v>
      </c>
    </row>
    <row r="42" spans="1:20" s="186" customFormat="1" ht="12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 ht="12">
      <c r="A43" s="5"/>
      <c r="B43" s="5"/>
      <c r="C43" s="5"/>
      <c r="D43" s="26"/>
      <c r="E43" s="26"/>
      <c r="F43" s="349"/>
      <c r="G43" s="71"/>
      <c r="H43" s="3"/>
      <c r="I43" s="3"/>
      <c r="J43" s="77">
        <f>SUM(J35:J41)</f>
        <v>180410000</v>
      </c>
      <c r="K43" s="7"/>
      <c r="L43" s="77">
        <f>SUM(L35:L41)</f>
        <v>87910000</v>
      </c>
      <c r="M43" s="77">
        <f>SUM(M35:M41)</f>
        <v>92500000</v>
      </c>
      <c r="N43" s="152"/>
      <c r="T43" s="77">
        <f>SUM(T35:T41)</f>
        <v>144500000</v>
      </c>
    </row>
    <row r="44" spans="1:20" ht="12">
      <c r="I44" s="198"/>
      <c r="N44" s="152"/>
    </row>
    <row r="45" spans="1:20">
      <c r="K45" s="200"/>
    </row>
    <row r="46" spans="1:20" ht="12.6" thickBot="1">
      <c r="J46" s="347">
        <f>J16+J32+J43</f>
        <v>1040101500.4799997</v>
      </c>
      <c r="M46" s="347">
        <f>M16+M32+M43</f>
        <v>628478399.42999971</v>
      </c>
      <c r="O46" s="265"/>
      <c r="P46" s="265"/>
      <c r="Q46" s="265"/>
      <c r="R46" s="265"/>
      <c r="T46" s="345">
        <f>T16+T32+T43</f>
        <v>680478399.42999971</v>
      </c>
    </row>
    <row r="47" spans="1:20" ht="12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57"/>
    </row>
    <row r="53" spans="8:13">
      <c r="L53" s="400"/>
    </row>
    <row r="54" spans="8:13">
      <c r="L54" s="366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57" workbookViewId="0">
      <selection activeCell="M104" sqref="M104"/>
    </sheetView>
  </sheetViews>
  <sheetFormatPr defaultRowHeight="11.4"/>
  <cols>
    <col min="1" max="1" width="15.125" bestFit="1" customWidth="1"/>
    <col min="2" max="2" width="13.25" customWidth="1"/>
    <col min="3" max="3" width="43.125" bestFit="1" customWidth="1"/>
    <col min="4" max="4" width="37.125" bestFit="1" customWidth="1"/>
    <col min="5" max="5" width="13.25" customWidth="1"/>
    <col min="6" max="7" width="15.75" bestFit="1" customWidth="1"/>
    <col min="8" max="8" width="15.125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4.1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 s="186" customFormat="1" ht="12">
      <c r="A6" s="31" t="s">
        <v>624</v>
      </c>
      <c r="B6" s="4" t="s">
        <v>77</v>
      </c>
      <c r="C6" s="4" t="s">
        <v>76</v>
      </c>
      <c r="D6" s="4" t="s">
        <v>473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</row>
    <row r="7" spans="1:20" s="186" customFormat="1" ht="12">
      <c r="A7" s="31" t="s">
        <v>625</v>
      </c>
      <c r="B7" s="4" t="s">
        <v>77</v>
      </c>
      <c r="C7" s="4" t="s">
        <v>76</v>
      </c>
      <c r="D7" s="4" t="s">
        <v>626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 ht="12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 ht="12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422</v>
      </c>
      <c r="B14" s="4" t="s">
        <v>77</v>
      </c>
      <c r="C14" s="4" t="s">
        <v>98</v>
      </c>
      <c r="D14" s="4" t="s">
        <v>423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426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431</v>
      </c>
      <c r="B16" s="4" t="s">
        <v>77</v>
      </c>
      <c r="C16" s="4" t="s">
        <v>98</v>
      </c>
      <c r="D16" s="4" t="s">
        <v>432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433</v>
      </c>
      <c r="B17" s="4" t="s">
        <v>77</v>
      </c>
      <c r="C17" s="4" t="s">
        <v>382</v>
      </c>
      <c r="D17" s="4" t="s">
        <v>434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435</v>
      </c>
      <c r="B18" s="4" t="s">
        <v>77</v>
      </c>
      <c r="C18" s="4" t="s">
        <v>158</v>
      </c>
      <c r="D18" s="4" t="s">
        <v>436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1" customFormat="1" ht="12">
      <c r="A19" s="137" t="s">
        <v>443</v>
      </c>
      <c r="B19" s="1" t="s">
        <v>391</v>
      </c>
      <c r="C19" s="1" t="s">
        <v>382</v>
      </c>
      <c r="D19" s="1" t="s">
        <v>444</v>
      </c>
      <c r="E19" s="1" t="s">
        <v>81</v>
      </c>
      <c r="F19" s="9">
        <v>5000000</v>
      </c>
      <c r="G19" s="9">
        <f t="shared" si="0"/>
        <v>5000000</v>
      </c>
      <c r="H19" s="3">
        <v>44210</v>
      </c>
      <c r="I19" s="3">
        <v>44210</v>
      </c>
      <c r="J19" s="9">
        <f>G19</f>
        <v>5000000</v>
      </c>
      <c r="K19" s="3">
        <v>45290</v>
      </c>
      <c r="L19" s="9">
        <v>5000000</v>
      </c>
      <c r="M19" s="9">
        <f t="shared" si="2"/>
        <v>0</v>
      </c>
      <c r="N19" s="3">
        <v>44292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N20" s="7"/>
    </row>
    <row r="21" spans="1:20" ht="12">
      <c r="A21" s="31" t="s">
        <v>91</v>
      </c>
      <c r="D21" s="1"/>
      <c r="H21" s="200"/>
      <c r="I21" s="3"/>
      <c r="N21" s="7"/>
    </row>
    <row r="22" spans="1:20" s="186" customFormat="1" ht="12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 ht="12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 ht="12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 ht="12">
      <c r="A25" s="31" t="s">
        <v>427</v>
      </c>
      <c r="B25" s="4" t="s">
        <v>77</v>
      </c>
      <c r="C25" s="4" t="s">
        <v>153</v>
      </c>
      <c r="D25" s="4" t="s">
        <v>428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 ht="12">
      <c r="A26" s="5" t="s">
        <v>429</v>
      </c>
      <c r="B26" s="4" t="s">
        <v>77</v>
      </c>
      <c r="C26" s="4" t="s">
        <v>153</v>
      </c>
      <c r="D26" s="4" t="s">
        <v>430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5000000</v>
      </c>
      <c r="M28" s="194">
        <f t="shared" si="4"/>
        <v>498737237.87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154</v>
      </c>
      <c r="E31" s="197"/>
      <c r="F31" s="468">
        <f>503737237.87-G28</f>
        <v>0</v>
      </c>
      <c r="H31" s="427"/>
      <c r="I31" s="200"/>
      <c r="T31" s="329">
        <f>F31</f>
        <v>0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3.2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6" t="s">
        <v>22</v>
      </c>
    </row>
    <row r="36" spans="1:20" ht="13.2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6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7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257</v>
      </c>
      <c r="E40" s="197"/>
      <c r="F40" s="199"/>
    </row>
    <row r="41" spans="1:20" ht="12" customHeight="1">
      <c r="F41" s="328"/>
    </row>
    <row r="42" spans="1:20" ht="12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3.2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  <c r="L47" s="198"/>
    </row>
    <row r="48" spans="1:20" ht="12">
      <c r="A48" s="13">
        <v>5213</v>
      </c>
      <c r="B48" s="13" t="s">
        <v>77</v>
      </c>
      <c r="C48" s="13" t="s">
        <v>410</v>
      </c>
      <c r="D48" s="36" t="s">
        <v>392</v>
      </c>
      <c r="E48" s="36" t="s">
        <v>82</v>
      </c>
      <c r="F48" s="426">
        <v>28000000</v>
      </c>
      <c r="G48" s="289">
        <f t="shared" ref="G48:G63" si="5">F48</f>
        <v>28000000</v>
      </c>
      <c r="H48" s="11">
        <v>44048</v>
      </c>
      <c r="I48" s="11">
        <f t="shared" ref="I48:I64" si="6">H48+35</f>
        <v>44083</v>
      </c>
      <c r="J48" s="289">
        <v>28000000</v>
      </c>
      <c r="K48" s="11">
        <v>45290</v>
      </c>
      <c r="L48" s="350">
        <v>26102168.199999999</v>
      </c>
      <c r="M48" s="350">
        <f t="shared" ref="M48:M65" si="7">J48-L48</f>
        <v>1897831.8000000007</v>
      </c>
      <c r="N48" s="152">
        <v>44299</v>
      </c>
      <c r="O48" s="1" t="s">
        <v>754</v>
      </c>
      <c r="T48" s="289">
        <f>M48</f>
        <v>1897831.8000000007</v>
      </c>
    </row>
    <row r="49" spans="1:20" ht="12">
      <c r="A49" s="13">
        <v>5214</v>
      </c>
      <c r="B49" s="13" t="s">
        <v>77</v>
      </c>
      <c r="C49" s="36" t="s">
        <v>312</v>
      </c>
      <c r="D49" s="36" t="s">
        <v>300</v>
      </c>
      <c r="E49" s="36" t="s">
        <v>247</v>
      </c>
      <c r="F49" s="440">
        <v>40000000</v>
      </c>
      <c r="G49" s="440">
        <f t="shared" si="5"/>
        <v>40000000</v>
      </c>
      <c r="H49" s="11">
        <v>44048</v>
      </c>
      <c r="I49" s="11">
        <f t="shared" si="6"/>
        <v>44083</v>
      </c>
      <c r="J49" s="440">
        <v>40000000</v>
      </c>
      <c r="K49" s="11">
        <v>45290</v>
      </c>
      <c r="L49" s="289">
        <v>0</v>
      </c>
      <c r="M49" s="289">
        <f t="shared" si="7"/>
        <v>40000000</v>
      </c>
      <c r="N49" s="152">
        <v>44266</v>
      </c>
      <c r="T49" s="289">
        <f t="shared" ref="T49:T64" si="8">M49</f>
        <v>40000000</v>
      </c>
    </row>
    <row r="50" spans="1:20" ht="12">
      <c r="A50" s="13">
        <v>5216</v>
      </c>
      <c r="B50" s="13" t="s">
        <v>77</v>
      </c>
      <c r="C50" s="36" t="s">
        <v>76</v>
      </c>
      <c r="D50" s="36" t="s">
        <v>392</v>
      </c>
      <c r="E50" s="36" t="s">
        <v>152</v>
      </c>
      <c r="F50" s="440">
        <v>409970085</v>
      </c>
      <c r="G50" s="440">
        <f t="shared" si="5"/>
        <v>409970085</v>
      </c>
      <c r="H50" s="11">
        <v>44048</v>
      </c>
      <c r="I50" s="11">
        <f t="shared" si="6"/>
        <v>44083</v>
      </c>
      <c r="J50" s="440">
        <v>409970085</v>
      </c>
      <c r="K50" s="11">
        <v>45290</v>
      </c>
      <c r="L50" s="289">
        <v>0</v>
      </c>
      <c r="M50" s="289">
        <f t="shared" si="7"/>
        <v>409970085</v>
      </c>
      <c r="N50" s="152">
        <v>44266</v>
      </c>
      <c r="T50" s="289">
        <f t="shared" si="8"/>
        <v>409970085</v>
      </c>
    </row>
    <row r="51" spans="1:20" ht="12">
      <c r="A51" s="13">
        <v>5217</v>
      </c>
      <c r="B51" s="13" t="s">
        <v>77</v>
      </c>
      <c r="C51" s="13" t="s">
        <v>150</v>
      </c>
      <c r="D51" s="36" t="s">
        <v>392</v>
      </c>
      <c r="E51" s="36" t="s">
        <v>152</v>
      </c>
      <c r="F51" s="426">
        <v>122966432</v>
      </c>
      <c r="G51" s="440">
        <f t="shared" si="5"/>
        <v>122966432</v>
      </c>
      <c r="H51" s="11">
        <v>44048</v>
      </c>
      <c r="I51" s="11">
        <f t="shared" si="6"/>
        <v>44083</v>
      </c>
      <c r="J51" s="440">
        <v>122966432</v>
      </c>
      <c r="K51" s="11">
        <v>45290</v>
      </c>
      <c r="L51" s="289">
        <v>0</v>
      </c>
      <c r="M51" s="289">
        <f t="shared" si="7"/>
        <v>122966432</v>
      </c>
      <c r="N51" s="152">
        <v>44260</v>
      </c>
      <c r="T51" s="289">
        <f t="shared" si="8"/>
        <v>122966432</v>
      </c>
    </row>
    <row r="52" spans="1:20" ht="12">
      <c r="A52" s="13">
        <v>5218</v>
      </c>
      <c r="B52" s="13" t="s">
        <v>77</v>
      </c>
      <c r="C52" s="13" t="s">
        <v>311</v>
      </c>
      <c r="D52" s="36" t="s">
        <v>411</v>
      </c>
      <c r="E52" s="36" t="s">
        <v>243</v>
      </c>
      <c r="F52" s="426">
        <v>64819515</v>
      </c>
      <c r="G52" s="440">
        <f t="shared" si="5"/>
        <v>64819515</v>
      </c>
      <c r="H52" s="11">
        <v>44048</v>
      </c>
      <c r="I52" s="11">
        <f t="shared" si="6"/>
        <v>44083</v>
      </c>
      <c r="J52" s="440">
        <v>64819515</v>
      </c>
      <c r="K52" s="11">
        <v>45290</v>
      </c>
      <c r="L52" s="289">
        <v>0</v>
      </c>
      <c r="M52" s="289">
        <f t="shared" si="7"/>
        <v>64819515</v>
      </c>
      <c r="N52" s="152">
        <v>44266</v>
      </c>
      <c r="T52" s="289">
        <f t="shared" si="8"/>
        <v>64819515</v>
      </c>
    </row>
    <row r="53" spans="1:20" ht="12">
      <c r="A53" s="13">
        <v>5219</v>
      </c>
      <c r="B53" s="13" t="s">
        <v>77</v>
      </c>
      <c r="C53" s="13" t="s">
        <v>315</v>
      </c>
      <c r="D53" s="36" t="s">
        <v>411</v>
      </c>
      <c r="E53" s="36" t="s">
        <v>304</v>
      </c>
      <c r="F53" s="426">
        <v>10000000</v>
      </c>
      <c r="G53" s="440">
        <f t="shared" si="5"/>
        <v>10000000</v>
      </c>
      <c r="H53" s="11">
        <v>44048</v>
      </c>
      <c r="I53" s="11">
        <f t="shared" si="6"/>
        <v>44083</v>
      </c>
      <c r="J53" s="440">
        <v>10000000</v>
      </c>
      <c r="K53" s="11">
        <v>45290</v>
      </c>
      <c r="L53" s="289">
        <v>0</v>
      </c>
      <c r="M53" s="289">
        <f t="shared" si="7"/>
        <v>10000000</v>
      </c>
      <c r="N53" s="152">
        <v>44266</v>
      </c>
      <c r="T53" s="289">
        <f t="shared" si="8"/>
        <v>10000000</v>
      </c>
    </row>
    <row r="54" spans="1:20" ht="12">
      <c r="A54" s="13">
        <v>5220</v>
      </c>
      <c r="B54" s="13" t="s">
        <v>77</v>
      </c>
      <c r="C54" s="13" t="s">
        <v>308</v>
      </c>
      <c r="D54" s="36" t="s">
        <v>411</v>
      </c>
      <c r="E54" s="36" t="s">
        <v>306</v>
      </c>
      <c r="F54" s="426">
        <v>20000000</v>
      </c>
      <c r="G54" s="440">
        <f t="shared" si="5"/>
        <v>20000000</v>
      </c>
      <c r="H54" s="11">
        <v>44048</v>
      </c>
      <c r="I54" s="11">
        <f t="shared" si="6"/>
        <v>44083</v>
      </c>
      <c r="J54" s="440">
        <v>20000000</v>
      </c>
      <c r="K54" s="11">
        <v>45290</v>
      </c>
      <c r="L54" s="289">
        <v>0</v>
      </c>
      <c r="M54" s="289">
        <f t="shared" si="7"/>
        <v>20000000</v>
      </c>
      <c r="N54" s="152">
        <v>44266</v>
      </c>
      <c r="T54" s="289">
        <f t="shared" si="8"/>
        <v>20000000</v>
      </c>
    </row>
    <row r="55" spans="1:20" ht="12">
      <c r="A55" s="13">
        <v>5221</v>
      </c>
      <c r="B55" s="13" t="s">
        <v>77</v>
      </c>
      <c r="C55" s="13" t="s">
        <v>310</v>
      </c>
      <c r="D55" s="36" t="s">
        <v>411</v>
      </c>
      <c r="E55" s="36" t="s">
        <v>169</v>
      </c>
      <c r="F55" s="426">
        <v>6000000</v>
      </c>
      <c r="G55" s="440">
        <f t="shared" si="5"/>
        <v>6000000</v>
      </c>
      <c r="H55" s="11">
        <v>44048</v>
      </c>
      <c r="I55" s="11">
        <f t="shared" si="6"/>
        <v>44083</v>
      </c>
      <c r="J55" s="440">
        <v>6000000</v>
      </c>
      <c r="K55" s="11">
        <v>45290</v>
      </c>
      <c r="L55" s="289">
        <v>0</v>
      </c>
      <c r="M55" s="289">
        <f t="shared" si="7"/>
        <v>6000000</v>
      </c>
      <c r="N55" s="152">
        <v>44266</v>
      </c>
      <c r="T55" s="289">
        <f t="shared" si="8"/>
        <v>6000000</v>
      </c>
    </row>
    <row r="56" spans="1:20" ht="12">
      <c r="A56" s="13">
        <v>5222</v>
      </c>
      <c r="B56" s="13" t="s">
        <v>77</v>
      </c>
      <c r="C56" s="13" t="s">
        <v>309</v>
      </c>
      <c r="D56" s="36" t="s">
        <v>411</v>
      </c>
      <c r="E56" s="36" t="s">
        <v>299</v>
      </c>
      <c r="F56" s="426">
        <v>30000000</v>
      </c>
      <c r="G56" s="440">
        <f t="shared" si="5"/>
        <v>30000000</v>
      </c>
      <c r="H56" s="11">
        <v>44048</v>
      </c>
      <c r="I56" s="11">
        <f t="shared" si="6"/>
        <v>44083</v>
      </c>
      <c r="J56" s="440">
        <v>30000000</v>
      </c>
      <c r="K56" s="11">
        <v>45290</v>
      </c>
      <c r="L56" s="289">
        <v>0</v>
      </c>
      <c r="M56" s="289">
        <f t="shared" si="7"/>
        <v>30000000</v>
      </c>
      <c r="N56" s="152">
        <v>44266</v>
      </c>
      <c r="T56" s="289">
        <f t="shared" si="8"/>
        <v>30000000</v>
      </c>
    </row>
    <row r="57" spans="1:20" ht="12">
      <c r="A57" s="13">
        <v>5223</v>
      </c>
      <c r="B57" s="13" t="s">
        <v>77</v>
      </c>
      <c r="C57" s="13" t="s">
        <v>313</v>
      </c>
      <c r="D57" s="36" t="s">
        <v>411</v>
      </c>
      <c r="E57" s="36" t="s">
        <v>412</v>
      </c>
      <c r="F57" s="426">
        <v>35000000</v>
      </c>
      <c r="G57" s="440">
        <f t="shared" si="5"/>
        <v>35000000</v>
      </c>
      <c r="H57" s="11">
        <v>44048</v>
      </c>
      <c r="I57" s="11">
        <f t="shared" si="6"/>
        <v>44083</v>
      </c>
      <c r="J57" s="440">
        <v>35000000</v>
      </c>
      <c r="K57" s="11">
        <v>45290</v>
      </c>
      <c r="L57" s="289">
        <v>0</v>
      </c>
      <c r="M57" s="289">
        <f t="shared" si="7"/>
        <v>35000000</v>
      </c>
      <c r="N57" s="152">
        <v>44266</v>
      </c>
      <c r="T57" s="289">
        <f t="shared" si="8"/>
        <v>35000000</v>
      </c>
    </row>
    <row r="58" spans="1:20" ht="12">
      <c r="A58" s="13">
        <v>5224</v>
      </c>
      <c r="B58" s="13" t="s">
        <v>77</v>
      </c>
      <c r="C58" s="13" t="s">
        <v>319</v>
      </c>
      <c r="D58" s="36" t="s">
        <v>411</v>
      </c>
      <c r="E58" s="36" t="s">
        <v>78</v>
      </c>
      <c r="F58" s="426">
        <v>64819515</v>
      </c>
      <c r="G58" s="440">
        <f t="shared" si="5"/>
        <v>64819515</v>
      </c>
      <c r="H58" s="11">
        <v>44048</v>
      </c>
      <c r="I58" s="11">
        <f t="shared" si="6"/>
        <v>44083</v>
      </c>
      <c r="J58" s="440">
        <f>G58</f>
        <v>64819515</v>
      </c>
      <c r="K58" s="11">
        <v>45290</v>
      </c>
      <c r="L58" s="289">
        <v>0</v>
      </c>
      <c r="M58" s="289">
        <f t="shared" si="7"/>
        <v>64819515</v>
      </c>
      <c r="N58" s="152">
        <v>44266</v>
      </c>
      <c r="T58" s="289">
        <f t="shared" si="8"/>
        <v>64819515</v>
      </c>
    </row>
    <row r="59" spans="1:20" ht="12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6">
        <v>30000000</v>
      </c>
      <c r="G59" s="440">
        <f t="shared" si="5"/>
        <v>30000000</v>
      </c>
      <c r="H59" s="11">
        <v>44048</v>
      </c>
      <c r="I59" s="11">
        <f t="shared" si="6"/>
        <v>44083</v>
      </c>
      <c r="J59" s="440">
        <v>30000000</v>
      </c>
      <c r="K59" s="11">
        <v>45290</v>
      </c>
      <c r="L59" s="289">
        <v>0</v>
      </c>
      <c r="M59" s="289">
        <f t="shared" si="7"/>
        <v>30000000</v>
      </c>
      <c r="N59" s="152">
        <v>44251</v>
      </c>
      <c r="T59" s="289">
        <f t="shared" si="8"/>
        <v>30000000</v>
      </c>
    </row>
    <row r="60" spans="1:20" ht="12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413</v>
      </c>
      <c r="F60" s="426">
        <v>27500000</v>
      </c>
      <c r="G60" s="440">
        <f t="shared" si="5"/>
        <v>27500000</v>
      </c>
      <c r="H60" s="11">
        <v>44048</v>
      </c>
      <c r="I60" s="11">
        <f t="shared" si="6"/>
        <v>44083</v>
      </c>
      <c r="J60" s="440">
        <v>27500000</v>
      </c>
      <c r="K60" s="11">
        <v>45290</v>
      </c>
      <c r="L60" s="289">
        <v>0</v>
      </c>
      <c r="M60" s="289">
        <f t="shared" si="7"/>
        <v>27500000</v>
      </c>
      <c r="N60" s="152">
        <v>44251</v>
      </c>
      <c r="T60" s="289">
        <f t="shared" si="8"/>
        <v>27500000</v>
      </c>
    </row>
    <row r="61" spans="1:20" ht="12">
      <c r="A61" s="13">
        <v>5227</v>
      </c>
      <c r="B61" s="13" t="s">
        <v>77</v>
      </c>
      <c r="C61" s="36" t="s">
        <v>316</v>
      </c>
      <c r="D61" s="36" t="s">
        <v>414</v>
      </c>
      <c r="E61" s="36" t="s">
        <v>413</v>
      </c>
      <c r="F61" s="440">
        <v>37319515</v>
      </c>
      <c r="G61" s="440">
        <f t="shared" si="5"/>
        <v>37319515</v>
      </c>
      <c r="H61" s="11">
        <v>44048</v>
      </c>
      <c r="I61" s="11">
        <f t="shared" si="6"/>
        <v>44083</v>
      </c>
      <c r="J61" s="440">
        <v>37319515</v>
      </c>
      <c r="K61" s="11">
        <v>45290</v>
      </c>
      <c r="L61" s="289">
        <v>0</v>
      </c>
      <c r="M61" s="289">
        <f t="shared" si="7"/>
        <v>37319515</v>
      </c>
      <c r="N61" s="152">
        <v>44266</v>
      </c>
      <c r="T61" s="289">
        <f t="shared" si="8"/>
        <v>37319515</v>
      </c>
    </row>
    <row r="62" spans="1:20" ht="12">
      <c r="A62" s="13">
        <v>5228</v>
      </c>
      <c r="B62" s="13" t="s">
        <v>77</v>
      </c>
      <c r="C62" s="36" t="s">
        <v>437</v>
      </c>
      <c r="D62" s="36" t="s">
        <v>414</v>
      </c>
      <c r="E62" s="36" t="s">
        <v>167</v>
      </c>
      <c r="F62" s="440">
        <v>4000000</v>
      </c>
      <c r="G62" s="440">
        <f t="shared" si="5"/>
        <v>4000000</v>
      </c>
      <c r="H62" s="11">
        <v>44048</v>
      </c>
      <c r="I62" s="11">
        <f t="shared" si="6"/>
        <v>44083</v>
      </c>
      <c r="J62" s="440">
        <v>4000000</v>
      </c>
      <c r="K62" s="11">
        <v>45290</v>
      </c>
      <c r="L62" s="289">
        <v>0</v>
      </c>
      <c r="M62" s="289">
        <f t="shared" si="7"/>
        <v>4000000</v>
      </c>
      <c r="N62" s="152">
        <v>44266</v>
      </c>
      <c r="T62" s="289">
        <f t="shared" si="8"/>
        <v>4000000</v>
      </c>
    </row>
    <row r="63" spans="1:20" ht="12">
      <c r="A63" s="13">
        <v>5229</v>
      </c>
      <c r="B63" s="13" t="s">
        <v>77</v>
      </c>
      <c r="C63" s="36" t="s">
        <v>307</v>
      </c>
      <c r="D63" s="36" t="s">
        <v>415</v>
      </c>
      <c r="E63" s="36" t="s">
        <v>165</v>
      </c>
      <c r="F63" s="440">
        <v>15000000</v>
      </c>
      <c r="G63" s="440">
        <f t="shared" si="5"/>
        <v>15000000</v>
      </c>
      <c r="H63" s="11">
        <v>44048</v>
      </c>
      <c r="I63" s="11">
        <f t="shared" si="6"/>
        <v>44083</v>
      </c>
      <c r="J63" s="440">
        <v>15000000</v>
      </c>
      <c r="K63" s="11">
        <v>45290</v>
      </c>
      <c r="L63" s="289">
        <v>0</v>
      </c>
      <c r="M63" s="289">
        <f t="shared" si="7"/>
        <v>15000000</v>
      </c>
      <c r="N63" s="152">
        <v>44266</v>
      </c>
      <c r="T63" s="289">
        <f t="shared" si="8"/>
        <v>15000000</v>
      </c>
    </row>
    <row r="64" spans="1:20" ht="12">
      <c r="A64" s="13">
        <v>5232</v>
      </c>
      <c r="B64" s="13" t="s">
        <v>77</v>
      </c>
      <c r="C64" s="36" t="s">
        <v>150</v>
      </c>
      <c r="D64" s="36" t="s">
        <v>392</v>
      </c>
      <c r="E64" s="36" t="s">
        <v>152</v>
      </c>
      <c r="F64" s="440">
        <v>118111220</v>
      </c>
      <c r="G64" s="440">
        <f>F64</f>
        <v>118111220</v>
      </c>
      <c r="H64" s="11">
        <v>44050</v>
      </c>
      <c r="I64" s="11">
        <f t="shared" si="6"/>
        <v>44085</v>
      </c>
      <c r="J64" s="440">
        <v>118111220</v>
      </c>
      <c r="K64" s="11">
        <v>45290</v>
      </c>
      <c r="L64" s="289">
        <v>0</v>
      </c>
      <c r="M64" s="289">
        <f t="shared" si="7"/>
        <v>118111220</v>
      </c>
      <c r="N64" s="152">
        <v>44260</v>
      </c>
      <c r="T64" s="289">
        <f t="shared" si="8"/>
        <v>118111220</v>
      </c>
    </row>
    <row r="65" spans="1:20" s="430" customFormat="1" ht="12">
      <c r="A65" s="527">
        <v>5267</v>
      </c>
      <c r="B65" s="527" t="s">
        <v>77</v>
      </c>
      <c r="C65" s="528" t="s">
        <v>76</v>
      </c>
      <c r="D65" s="528" t="s">
        <v>248</v>
      </c>
      <c r="E65" s="528" t="s">
        <v>152</v>
      </c>
      <c r="F65" s="529">
        <v>162000000</v>
      </c>
      <c r="G65" s="530">
        <v>162000000</v>
      </c>
      <c r="H65" s="531">
        <v>44148</v>
      </c>
      <c r="I65" s="532">
        <f>H65+35</f>
        <v>44183</v>
      </c>
      <c r="J65" s="530">
        <v>0</v>
      </c>
      <c r="K65" s="531">
        <f>H65+210</f>
        <v>44358</v>
      </c>
      <c r="L65" s="533">
        <v>0</v>
      </c>
      <c r="M65" s="533">
        <f t="shared" si="7"/>
        <v>0</v>
      </c>
      <c r="N65" s="435">
        <v>44244</v>
      </c>
      <c r="O65" s="496" t="s">
        <v>687</v>
      </c>
      <c r="T65" s="533">
        <v>0</v>
      </c>
    </row>
    <row r="66" spans="1:20" ht="12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495"/>
    </row>
    <row r="67" spans="1:20" ht="12">
      <c r="F67" s="185"/>
      <c r="G67" s="525"/>
      <c r="H67" s="185"/>
      <c r="I67" s="185"/>
      <c r="J67" s="194">
        <f>SUM(J48:J66)</f>
        <v>1063506282</v>
      </c>
      <c r="K67" s="416"/>
      <c r="L67" s="194">
        <f>SUM(L48:L66)</f>
        <v>26102168.199999999</v>
      </c>
      <c r="M67" s="194">
        <f t="shared" ref="M67" si="9">SUM(M48:M66)</f>
        <v>1037404113.8</v>
      </c>
      <c r="N67" s="152"/>
      <c r="T67" s="329">
        <f>SUM(T48:T66)</f>
        <v>1037404113.8</v>
      </c>
    </row>
    <row r="68" spans="1:20" ht="12.6" thickBot="1">
      <c r="F68" s="525"/>
      <c r="G68" s="526"/>
      <c r="H68" s="185"/>
      <c r="I68" s="185"/>
      <c r="J68" s="185"/>
      <c r="K68" s="185"/>
      <c r="M68" s="400"/>
      <c r="N68" s="152"/>
    </row>
    <row r="69" spans="1:20" ht="12">
      <c r="A69" s="169" t="s">
        <v>94</v>
      </c>
      <c r="F69" s="525"/>
      <c r="G69" s="525"/>
      <c r="H69" s="152"/>
      <c r="I69" s="185"/>
      <c r="J69" s="509"/>
      <c r="K69" s="290"/>
      <c r="M69" s="400"/>
      <c r="N69" s="152"/>
    </row>
    <row r="70" spans="1:20" ht="12">
      <c r="A70" s="13">
        <v>5199</v>
      </c>
      <c r="B70" s="13" t="s">
        <v>77</v>
      </c>
      <c r="C70" s="13" t="s">
        <v>627</v>
      </c>
      <c r="D70" s="36" t="s">
        <v>94</v>
      </c>
      <c r="E70" s="36" t="s">
        <v>79</v>
      </c>
      <c r="F70" s="426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354">
        <v>60000000</v>
      </c>
      <c r="M70" s="354">
        <f>J70-L70</f>
        <v>0</v>
      </c>
      <c r="N70" s="515">
        <v>44205</v>
      </c>
      <c r="O70" s="288" t="s">
        <v>649</v>
      </c>
      <c r="T70" s="289">
        <f>M70</f>
        <v>0</v>
      </c>
    </row>
    <row r="71" spans="1:20" ht="12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6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518"/>
      <c r="T71" s="289">
        <f t="shared" ref="T71:T95" si="10">M71</f>
        <v>50000000</v>
      </c>
    </row>
    <row r="72" spans="1:20" ht="12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1">H72+35</f>
        <v>44063</v>
      </c>
      <c r="J72" s="289">
        <v>35000000</v>
      </c>
      <c r="K72" s="11">
        <f t="shared" ref="K72:K97" si="12">H72+180</f>
        <v>44208</v>
      </c>
      <c r="L72" s="354">
        <f>26950000+6000000</f>
        <v>32950000</v>
      </c>
      <c r="M72" s="354">
        <f>J72-L72</f>
        <v>2050000</v>
      </c>
      <c r="N72" s="515">
        <v>44287</v>
      </c>
      <c r="O72" s="288" t="s">
        <v>747</v>
      </c>
      <c r="T72" s="289">
        <f t="shared" si="10"/>
        <v>2050000</v>
      </c>
    </row>
    <row r="73" spans="1:20" ht="12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6">
        <v>38100000</v>
      </c>
      <c r="G73" s="289">
        <v>38100000</v>
      </c>
      <c r="H73" s="11">
        <v>44041</v>
      </c>
      <c r="I73" s="11">
        <f t="shared" si="11"/>
        <v>44076</v>
      </c>
      <c r="J73" s="289">
        <v>38100000</v>
      </c>
      <c r="K73" s="11">
        <f t="shared" si="12"/>
        <v>44221</v>
      </c>
      <c r="L73" s="289">
        <v>38100000</v>
      </c>
      <c r="M73" s="289">
        <f t="shared" ref="M73:M97" si="13">J73-L73</f>
        <v>0</v>
      </c>
      <c r="N73" s="152">
        <v>44224</v>
      </c>
      <c r="O73" s="288"/>
      <c r="P73" s="522"/>
      <c r="T73" s="289">
        <f t="shared" si="10"/>
        <v>0</v>
      </c>
    </row>
    <row r="74" spans="1:20" ht="12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6">
        <v>23500000</v>
      </c>
      <c r="G74" s="289">
        <v>23500000</v>
      </c>
      <c r="H74" s="11">
        <v>44044</v>
      </c>
      <c r="I74" s="11">
        <f t="shared" si="11"/>
        <v>44079</v>
      </c>
      <c r="J74" s="289">
        <v>23500000</v>
      </c>
      <c r="K74" s="11">
        <v>45290</v>
      </c>
      <c r="L74" s="354">
        <v>23500000</v>
      </c>
      <c r="M74" s="354">
        <f t="shared" si="13"/>
        <v>0</v>
      </c>
      <c r="N74" s="515">
        <v>44224</v>
      </c>
      <c r="O74" s="521" t="s">
        <v>682</v>
      </c>
      <c r="T74" s="289">
        <f t="shared" si="10"/>
        <v>0</v>
      </c>
    </row>
    <row r="75" spans="1:20" ht="12">
      <c r="A75" s="13">
        <v>5212</v>
      </c>
      <c r="B75" s="13" t="s">
        <v>391</v>
      </c>
      <c r="C75" s="13" t="s">
        <v>223</v>
      </c>
      <c r="D75" s="36" t="s">
        <v>629</v>
      </c>
      <c r="E75" s="36" t="s">
        <v>81</v>
      </c>
      <c r="F75" s="426">
        <v>30000000</v>
      </c>
      <c r="G75" s="289">
        <v>30000000</v>
      </c>
      <c r="H75" s="11">
        <v>44044</v>
      </c>
      <c r="I75" s="11">
        <f t="shared" si="11"/>
        <v>44079</v>
      </c>
      <c r="J75" s="289">
        <v>30000000</v>
      </c>
      <c r="K75" s="11">
        <f t="shared" si="12"/>
        <v>44224</v>
      </c>
      <c r="L75" s="354">
        <f>27500000+2500000</f>
        <v>30000000</v>
      </c>
      <c r="M75" s="354">
        <f t="shared" si="13"/>
        <v>0</v>
      </c>
      <c r="N75" s="515">
        <v>44236</v>
      </c>
      <c r="O75" s="288" t="s">
        <v>761</v>
      </c>
      <c r="T75" s="289">
        <f t="shared" si="10"/>
        <v>0</v>
      </c>
    </row>
    <row r="76" spans="1:20" ht="12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6">
        <v>64819515</v>
      </c>
      <c r="G76" s="289">
        <f>F76</f>
        <v>64819515</v>
      </c>
      <c r="H76" s="11">
        <v>44050</v>
      </c>
      <c r="I76" s="11">
        <f t="shared" si="11"/>
        <v>44085</v>
      </c>
      <c r="J76" s="289">
        <f>G76</f>
        <v>64819515</v>
      </c>
      <c r="K76" s="11">
        <f t="shared" si="12"/>
        <v>44230</v>
      </c>
      <c r="L76" s="354">
        <f>64819000+515</f>
        <v>64819515</v>
      </c>
      <c r="M76" s="354">
        <f>J76-L76</f>
        <v>0</v>
      </c>
      <c r="N76" s="515">
        <v>44261</v>
      </c>
      <c r="O76" s="288" t="s">
        <v>721</v>
      </c>
      <c r="T76" s="289">
        <f t="shared" si="10"/>
        <v>0</v>
      </c>
    </row>
    <row r="77" spans="1:20" ht="12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4">F77</f>
        <v>50000000</v>
      </c>
      <c r="H77" s="11">
        <v>44050</v>
      </c>
      <c r="I77" s="11">
        <f t="shared" si="11"/>
        <v>44085</v>
      </c>
      <c r="J77" s="289">
        <v>50000000</v>
      </c>
      <c r="K77" s="11">
        <v>45290</v>
      </c>
      <c r="L77" s="354">
        <v>50000000</v>
      </c>
      <c r="M77" s="354">
        <f t="shared" ref="M77:M78" si="15">J77-L77</f>
        <v>0</v>
      </c>
      <c r="N77" s="515">
        <v>44245</v>
      </c>
      <c r="O77" s="288" t="s">
        <v>689</v>
      </c>
      <c r="T77" s="289">
        <f t="shared" si="10"/>
        <v>0</v>
      </c>
    </row>
    <row r="78" spans="1:20" ht="12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6">
        <v>10000000</v>
      </c>
      <c r="G78" s="289">
        <f t="shared" si="14"/>
        <v>10000000</v>
      </c>
      <c r="H78" s="11">
        <v>44050</v>
      </c>
      <c r="I78" s="11">
        <f t="shared" si="11"/>
        <v>44085</v>
      </c>
      <c r="J78" s="289">
        <v>10000000</v>
      </c>
      <c r="K78" s="11">
        <f t="shared" si="12"/>
        <v>44230</v>
      </c>
      <c r="L78" s="354">
        <f>5250000+4750000</f>
        <v>10000000</v>
      </c>
      <c r="M78" s="354">
        <f t="shared" si="15"/>
        <v>0</v>
      </c>
      <c r="N78" s="515">
        <v>44261</v>
      </c>
      <c r="O78" s="288" t="s">
        <v>722</v>
      </c>
      <c r="T78" s="289">
        <f t="shared" si="10"/>
        <v>0</v>
      </c>
    </row>
    <row r="79" spans="1:20" ht="12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6">
        <v>25000000</v>
      </c>
      <c r="G79" s="289">
        <v>25000000</v>
      </c>
      <c r="H79" s="11">
        <v>44050</v>
      </c>
      <c r="I79" s="11">
        <f t="shared" si="11"/>
        <v>44085</v>
      </c>
      <c r="J79" s="289">
        <v>25000000</v>
      </c>
      <c r="K79" s="11">
        <v>45290</v>
      </c>
      <c r="L79" s="289">
        <v>0</v>
      </c>
      <c r="M79" s="289">
        <f t="shared" si="13"/>
        <v>25000000</v>
      </c>
      <c r="N79" s="152">
        <v>44201</v>
      </c>
      <c r="O79" s="288"/>
      <c r="T79" s="289">
        <f t="shared" si="10"/>
        <v>25000000</v>
      </c>
    </row>
    <row r="80" spans="1:20" ht="12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6">
        <v>50000000</v>
      </c>
      <c r="G80" s="289">
        <v>50000000</v>
      </c>
      <c r="H80" s="11">
        <v>44050</v>
      </c>
      <c r="I80" s="11">
        <f t="shared" si="11"/>
        <v>44085</v>
      </c>
      <c r="J80" s="289">
        <v>50000000</v>
      </c>
      <c r="K80" s="11">
        <v>45290</v>
      </c>
      <c r="L80" s="354">
        <v>50000000</v>
      </c>
      <c r="M80" s="354">
        <f t="shared" si="13"/>
        <v>0</v>
      </c>
      <c r="N80" s="515">
        <v>44218</v>
      </c>
      <c r="O80" s="288" t="s">
        <v>665</v>
      </c>
      <c r="T80" s="289">
        <f t="shared" si="10"/>
        <v>0</v>
      </c>
    </row>
    <row r="81" spans="1:20" ht="12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1"/>
        <v>44089</v>
      </c>
      <c r="J81" s="289">
        <v>50000000</v>
      </c>
      <c r="K81" s="11">
        <v>45290</v>
      </c>
      <c r="L81" s="354">
        <f>35000000+15000000</f>
        <v>50000000</v>
      </c>
      <c r="M81" s="354">
        <f t="shared" si="13"/>
        <v>0</v>
      </c>
      <c r="N81" s="515">
        <v>44275</v>
      </c>
      <c r="O81" s="288" t="s">
        <v>735</v>
      </c>
      <c r="T81" s="289">
        <f t="shared" si="10"/>
        <v>0</v>
      </c>
    </row>
    <row r="82" spans="1:20" ht="12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6">
        <v>50000000</v>
      </c>
      <c r="G82" s="289">
        <v>50000000</v>
      </c>
      <c r="H82" s="11">
        <v>44056</v>
      </c>
      <c r="I82" s="11">
        <f t="shared" si="11"/>
        <v>44091</v>
      </c>
      <c r="J82" s="289">
        <v>50000000</v>
      </c>
      <c r="K82" s="11">
        <v>45290</v>
      </c>
      <c r="L82" s="354">
        <v>50000000</v>
      </c>
      <c r="M82" s="354">
        <f t="shared" si="13"/>
        <v>0</v>
      </c>
      <c r="N82" s="515">
        <v>44208</v>
      </c>
      <c r="O82" s="288" t="s">
        <v>654</v>
      </c>
      <c r="T82" s="289">
        <f t="shared" si="10"/>
        <v>0</v>
      </c>
    </row>
    <row r="83" spans="1:20" ht="12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1"/>
        <v>44091</v>
      </c>
      <c r="J83" s="289">
        <v>27500000</v>
      </c>
      <c r="K83" s="11">
        <v>45290</v>
      </c>
      <c r="L83" s="289">
        <v>0</v>
      </c>
      <c r="M83" s="289">
        <f t="shared" si="13"/>
        <v>27500000</v>
      </c>
      <c r="N83" s="152">
        <v>44287</v>
      </c>
      <c r="O83" s="1"/>
      <c r="T83" s="289">
        <f t="shared" si="10"/>
        <v>27500000</v>
      </c>
    </row>
    <row r="84" spans="1:20" ht="12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1"/>
        <v>44091</v>
      </c>
      <c r="J84" s="289">
        <v>12000000</v>
      </c>
      <c r="K84" s="11">
        <v>45290</v>
      </c>
      <c r="L84" s="289">
        <v>0</v>
      </c>
      <c r="M84" s="289">
        <f t="shared" si="13"/>
        <v>12000000</v>
      </c>
      <c r="N84" s="152">
        <v>44204</v>
      </c>
      <c r="O84" s="288"/>
      <c r="T84" s="289">
        <f t="shared" si="10"/>
        <v>12000000</v>
      </c>
    </row>
    <row r="85" spans="1:20" ht="12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1"/>
        <v>44091</v>
      </c>
      <c r="J85" s="289">
        <v>20000000</v>
      </c>
      <c r="K85" s="11">
        <v>45290</v>
      </c>
      <c r="L85" s="289">
        <v>0</v>
      </c>
      <c r="M85" s="289">
        <f t="shared" si="13"/>
        <v>20000000</v>
      </c>
      <c r="N85" s="152">
        <v>44204</v>
      </c>
      <c r="O85" s="288"/>
      <c r="T85" s="289">
        <f t="shared" si="10"/>
        <v>20000000</v>
      </c>
    </row>
    <row r="86" spans="1:20" ht="12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6">
        <v>25000000</v>
      </c>
      <c r="G86" s="67">
        <f>F86</f>
        <v>25000000</v>
      </c>
      <c r="H86" s="359">
        <v>44063</v>
      </c>
      <c r="I86" s="11">
        <f t="shared" si="11"/>
        <v>44098</v>
      </c>
      <c r="J86" s="289">
        <v>25000000</v>
      </c>
      <c r="K86" s="11">
        <v>45290</v>
      </c>
      <c r="L86" s="354">
        <v>25000000</v>
      </c>
      <c r="M86" s="354">
        <f t="shared" si="13"/>
        <v>0</v>
      </c>
      <c r="N86" s="515">
        <v>44223</v>
      </c>
      <c r="O86" s="288" t="s">
        <v>678</v>
      </c>
      <c r="T86" s="289">
        <f t="shared" si="10"/>
        <v>0</v>
      </c>
    </row>
    <row r="87" spans="1:20" ht="12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6">
        <v>18000000</v>
      </c>
      <c r="G87" s="67">
        <v>18000000</v>
      </c>
      <c r="H87" s="359">
        <v>44063</v>
      </c>
      <c r="I87" s="11">
        <f t="shared" si="11"/>
        <v>44098</v>
      </c>
      <c r="J87" s="289">
        <v>18000000</v>
      </c>
      <c r="K87" s="11">
        <f t="shared" si="12"/>
        <v>44243</v>
      </c>
      <c r="L87" s="289">
        <v>18000000</v>
      </c>
      <c r="M87" s="289">
        <f t="shared" si="13"/>
        <v>0</v>
      </c>
      <c r="N87" s="152">
        <v>44250</v>
      </c>
      <c r="O87" s="288"/>
      <c r="T87" s="289">
        <f t="shared" si="10"/>
        <v>0</v>
      </c>
    </row>
    <row r="88" spans="1:20" s="430" customFormat="1" ht="12">
      <c r="A88" s="527">
        <v>5249</v>
      </c>
      <c r="B88" s="527" t="s">
        <v>391</v>
      </c>
      <c r="C88" s="527" t="s">
        <v>268</v>
      </c>
      <c r="D88" s="528" t="s">
        <v>339</v>
      </c>
      <c r="E88" s="528" t="s">
        <v>336</v>
      </c>
      <c r="F88" s="530">
        <v>30000000</v>
      </c>
      <c r="G88" s="537">
        <f t="shared" ref="G88:G93" si="16">F88</f>
        <v>30000000</v>
      </c>
      <c r="H88" s="531">
        <v>44063</v>
      </c>
      <c r="I88" s="532">
        <f t="shared" si="11"/>
        <v>44098</v>
      </c>
      <c r="J88" s="533">
        <f>30000000-18910000</f>
        <v>11090000</v>
      </c>
      <c r="K88" s="532">
        <f t="shared" si="12"/>
        <v>44243</v>
      </c>
      <c r="L88" s="533">
        <v>7090000</v>
      </c>
      <c r="M88" s="533">
        <f t="shared" si="13"/>
        <v>4000000</v>
      </c>
      <c r="N88" s="435">
        <v>43881</v>
      </c>
      <c r="O88" s="496" t="s">
        <v>693</v>
      </c>
      <c r="T88" s="533">
        <f>M88-18910000</f>
        <v>-14910000</v>
      </c>
    </row>
    <row r="89" spans="1:20" ht="12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6">
        <v>30000000</v>
      </c>
      <c r="G89" s="67">
        <f t="shared" si="16"/>
        <v>30000000</v>
      </c>
      <c r="H89" s="359">
        <v>44063</v>
      </c>
      <c r="I89" s="11">
        <f t="shared" si="11"/>
        <v>44098</v>
      </c>
      <c r="J89" s="289">
        <v>30000000</v>
      </c>
      <c r="K89" s="11">
        <f t="shared" si="12"/>
        <v>44243</v>
      </c>
      <c r="L89" s="289">
        <v>30000000</v>
      </c>
      <c r="M89" s="289">
        <f t="shared" si="13"/>
        <v>0</v>
      </c>
      <c r="N89" s="152">
        <v>44252</v>
      </c>
      <c r="O89" s="288"/>
      <c r="T89" s="289">
        <f t="shared" si="10"/>
        <v>0</v>
      </c>
    </row>
    <row r="90" spans="1:20" ht="12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6">
        <v>45000000</v>
      </c>
      <c r="G90" s="67">
        <f t="shared" si="16"/>
        <v>45000000</v>
      </c>
      <c r="H90" s="359">
        <v>44063</v>
      </c>
      <c r="I90" s="11">
        <f t="shared" si="11"/>
        <v>44098</v>
      </c>
      <c r="J90" s="289">
        <v>45000000</v>
      </c>
      <c r="K90" s="11">
        <v>45290</v>
      </c>
      <c r="L90" s="289">
        <v>0</v>
      </c>
      <c r="M90" s="289">
        <f t="shared" si="13"/>
        <v>45000000</v>
      </c>
      <c r="N90" s="152">
        <v>44281</v>
      </c>
      <c r="O90" s="288"/>
      <c r="T90" s="289">
        <f t="shared" si="10"/>
        <v>45000000</v>
      </c>
    </row>
    <row r="91" spans="1:20" ht="12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6">
        <v>40000000</v>
      </c>
      <c r="G91" s="67">
        <f t="shared" si="16"/>
        <v>40000000</v>
      </c>
      <c r="H91" s="359">
        <v>44063</v>
      </c>
      <c r="I91" s="11">
        <f t="shared" si="11"/>
        <v>44098</v>
      </c>
      <c r="J91" s="289">
        <v>40000000</v>
      </c>
      <c r="K91" s="11">
        <v>45290</v>
      </c>
      <c r="L91" s="354">
        <v>40000000</v>
      </c>
      <c r="M91" s="354">
        <f t="shared" si="13"/>
        <v>0</v>
      </c>
      <c r="N91" s="515">
        <v>44218</v>
      </c>
      <c r="O91" s="288" t="s">
        <v>668</v>
      </c>
      <c r="T91" s="289">
        <f t="shared" si="10"/>
        <v>0</v>
      </c>
    </row>
    <row r="92" spans="1:20" ht="12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6">
        <v>50000000</v>
      </c>
      <c r="G92" s="67">
        <f t="shared" si="16"/>
        <v>50000000</v>
      </c>
      <c r="H92" s="359">
        <v>44063</v>
      </c>
      <c r="I92" s="11">
        <f t="shared" si="11"/>
        <v>44098</v>
      </c>
      <c r="J92" s="289">
        <v>50000000</v>
      </c>
      <c r="K92" s="11">
        <v>45290</v>
      </c>
      <c r="L92" s="354">
        <v>42000000</v>
      </c>
      <c r="M92" s="354">
        <f t="shared" si="13"/>
        <v>8000000</v>
      </c>
      <c r="N92" s="515">
        <v>44253</v>
      </c>
      <c r="O92" s="288" t="s">
        <v>701</v>
      </c>
      <c r="T92" s="289">
        <f t="shared" si="10"/>
        <v>8000000</v>
      </c>
    </row>
    <row r="93" spans="1:20" ht="12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6">
        <v>50000000</v>
      </c>
      <c r="G93" s="67">
        <f t="shared" si="16"/>
        <v>50000000</v>
      </c>
      <c r="H93" s="359">
        <v>44063</v>
      </c>
      <c r="I93" s="11">
        <f t="shared" si="11"/>
        <v>44098</v>
      </c>
      <c r="J93" s="289">
        <v>50000000</v>
      </c>
      <c r="K93" s="11">
        <v>45290</v>
      </c>
      <c r="L93" s="289">
        <v>0</v>
      </c>
      <c r="M93" s="289">
        <f t="shared" si="13"/>
        <v>50000000</v>
      </c>
      <c r="N93" s="152">
        <v>44244</v>
      </c>
      <c r="O93" s="288"/>
      <c r="T93" s="289">
        <f t="shared" si="10"/>
        <v>50000000</v>
      </c>
    </row>
    <row r="94" spans="1:20" ht="12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6">
        <v>35000000</v>
      </c>
      <c r="G94" s="426">
        <v>35000000</v>
      </c>
      <c r="H94" s="359">
        <v>44082</v>
      </c>
      <c r="I94" s="11">
        <f t="shared" si="11"/>
        <v>44117</v>
      </c>
      <c r="J94" s="289">
        <v>35000000</v>
      </c>
      <c r="K94" s="11">
        <v>45290</v>
      </c>
      <c r="L94" s="354">
        <v>35000000</v>
      </c>
      <c r="M94" s="354">
        <f t="shared" si="13"/>
        <v>0</v>
      </c>
      <c r="N94" s="515">
        <v>44238</v>
      </c>
      <c r="O94" s="288" t="s">
        <v>684</v>
      </c>
      <c r="T94" s="289">
        <f t="shared" si="10"/>
        <v>0</v>
      </c>
    </row>
    <row r="95" spans="1:20" s="186" customFormat="1" ht="12">
      <c r="A95" s="5">
        <v>5263</v>
      </c>
      <c r="B95" s="5" t="s">
        <v>77</v>
      </c>
      <c r="C95" s="5" t="s">
        <v>153</v>
      </c>
      <c r="D95" s="26" t="s">
        <v>403</v>
      </c>
      <c r="E95" s="26" t="s">
        <v>81</v>
      </c>
      <c r="F95" s="352">
        <v>40000000</v>
      </c>
      <c r="G95" s="352">
        <v>40000000</v>
      </c>
      <c r="H95" s="461">
        <v>44135</v>
      </c>
      <c r="I95" s="6">
        <f t="shared" si="11"/>
        <v>44170</v>
      </c>
      <c r="J95" s="349">
        <v>40000000</v>
      </c>
      <c r="K95" s="6">
        <f t="shared" si="12"/>
        <v>44315</v>
      </c>
      <c r="L95" s="349">
        <v>0</v>
      </c>
      <c r="M95" s="349">
        <f t="shared" si="13"/>
        <v>40000000</v>
      </c>
      <c r="N95" s="184">
        <v>44197</v>
      </c>
      <c r="O95" s="288"/>
      <c r="T95" s="349">
        <f t="shared" si="10"/>
        <v>40000000</v>
      </c>
    </row>
    <row r="96" spans="1:20" s="494" customFormat="1" ht="12">
      <c r="A96" s="487">
        <v>5264</v>
      </c>
      <c r="B96" s="487" t="s">
        <v>77</v>
      </c>
      <c r="C96" s="487" t="s">
        <v>161</v>
      </c>
      <c r="D96" s="488" t="s">
        <v>438</v>
      </c>
      <c r="E96" s="488" t="s">
        <v>80</v>
      </c>
      <c r="F96" s="489">
        <v>35000000</v>
      </c>
      <c r="G96" s="489">
        <v>35000000</v>
      </c>
      <c r="H96" s="490">
        <v>44142</v>
      </c>
      <c r="I96" s="491">
        <f t="shared" si="11"/>
        <v>44177</v>
      </c>
      <c r="J96" s="489">
        <v>35000000</v>
      </c>
      <c r="K96" s="491">
        <f t="shared" si="12"/>
        <v>44322</v>
      </c>
      <c r="L96" s="492">
        <v>0</v>
      </c>
      <c r="M96" s="492">
        <f t="shared" si="13"/>
        <v>35000000</v>
      </c>
      <c r="N96" s="493">
        <v>44175</v>
      </c>
      <c r="O96" s="496" t="s">
        <v>630</v>
      </c>
      <c r="T96" s="492">
        <v>0</v>
      </c>
    </row>
    <row r="97" spans="1:20" s="494" customFormat="1" ht="12">
      <c r="A97" s="487">
        <v>5266</v>
      </c>
      <c r="B97" s="487" t="s">
        <v>77</v>
      </c>
      <c r="C97" s="487" t="s">
        <v>234</v>
      </c>
      <c r="D97" s="488" t="s">
        <v>440</v>
      </c>
      <c r="E97" s="488" t="s">
        <v>95</v>
      </c>
      <c r="F97" s="489">
        <v>52000000</v>
      </c>
      <c r="G97" s="489">
        <f>F97</f>
        <v>52000000</v>
      </c>
      <c r="H97" s="490">
        <v>44146</v>
      </c>
      <c r="I97" s="491">
        <f t="shared" si="11"/>
        <v>44181</v>
      </c>
      <c r="J97" s="489">
        <v>52000000</v>
      </c>
      <c r="K97" s="491">
        <f t="shared" si="12"/>
        <v>44326</v>
      </c>
      <c r="L97" s="492">
        <v>0</v>
      </c>
      <c r="M97" s="492">
        <f t="shared" si="13"/>
        <v>52000000</v>
      </c>
      <c r="N97" s="493">
        <v>44181</v>
      </c>
      <c r="O97" s="496" t="s">
        <v>631</v>
      </c>
      <c r="T97" s="492">
        <v>0</v>
      </c>
    </row>
    <row r="98" spans="1:20" s="186" customFormat="1" ht="12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49"/>
      <c r="G99" s="71"/>
      <c r="H99" s="3"/>
      <c r="I99" s="3"/>
      <c r="J99" s="77">
        <f>SUM(J70:J98)</f>
        <v>1027009515</v>
      </c>
      <c r="K99" s="7"/>
      <c r="L99" s="77">
        <f t="shared" ref="L99:M99" si="17">SUM(L70:L98)</f>
        <v>656459515</v>
      </c>
      <c r="M99" s="77">
        <f t="shared" si="17"/>
        <v>370550000</v>
      </c>
      <c r="N99" s="152"/>
      <c r="T99" s="77">
        <f>SUM(T70:T98)</f>
        <v>264640000</v>
      </c>
    </row>
    <row r="100" spans="1:20" ht="12.6" thickBot="1">
      <c r="F100" s="185"/>
      <c r="G100" s="185"/>
      <c r="H100" s="185"/>
      <c r="I100" s="185"/>
      <c r="J100" s="534"/>
      <c r="K100" s="185"/>
      <c r="L100" s="518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 ht="12">
      <c r="A102" s="13">
        <v>5268</v>
      </c>
      <c r="B102" s="13" t="s">
        <v>77</v>
      </c>
      <c r="C102" s="13" t="s">
        <v>83</v>
      </c>
      <c r="D102" s="36" t="s">
        <v>759</v>
      </c>
      <c r="E102" s="36" t="s">
        <v>82</v>
      </c>
      <c r="F102" s="556">
        <v>99275400.870000005</v>
      </c>
      <c r="G102" s="556">
        <f>F102</f>
        <v>99275400.870000005</v>
      </c>
      <c r="H102" s="359">
        <v>44149</v>
      </c>
      <c r="I102" s="11">
        <f t="shared" ref="I102" si="18">H102+35</f>
        <v>44184</v>
      </c>
      <c r="J102" s="289">
        <v>99275000</v>
      </c>
      <c r="K102" s="11">
        <f>H102+150</f>
        <v>44299</v>
      </c>
      <c r="L102" s="354">
        <v>35000000</v>
      </c>
      <c r="M102" s="354">
        <f>J102-L102</f>
        <v>64275000</v>
      </c>
      <c r="N102" s="515">
        <v>44302</v>
      </c>
      <c r="O102" s="288" t="s">
        <v>760</v>
      </c>
      <c r="T102" s="289">
        <f>M102</f>
        <v>64275000</v>
      </c>
    </row>
    <row r="103" spans="1:20" ht="12">
      <c r="N103" s="152"/>
    </row>
    <row r="104" spans="1:20" ht="12">
      <c r="I104" s="198"/>
      <c r="J104" s="346">
        <f>SUM(J102:J103)</f>
        <v>99275000</v>
      </c>
      <c r="K104" s="186"/>
      <c r="L104" s="77">
        <f>SUM(L102:L103)</f>
        <v>35000000</v>
      </c>
      <c r="M104" s="77">
        <f>SUM(M102:M103)</f>
        <v>64275000</v>
      </c>
      <c r="N104" s="152"/>
      <c r="T104" s="77">
        <f>SUM(T102:T103)</f>
        <v>64275000</v>
      </c>
    </row>
    <row r="105" spans="1:20" ht="12">
      <c r="I105" s="198"/>
      <c r="N105" s="152"/>
    </row>
    <row r="107" spans="1:20" ht="12.6" thickBot="1">
      <c r="J107" s="347">
        <f>F31+J67+J99+J104</f>
        <v>2189790797</v>
      </c>
      <c r="M107" s="347">
        <f>M104+M99+M67+G28</f>
        <v>1975966351.6700001</v>
      </c>
      <c r="O107" s="265"/>
      <c r="P107" s="265"/>
      <c r="Q107" s="265"/>
      <c r="R107" s="265"/>
      <c r="T107" s="345">
        <f>T104+T99+T67+G28</f>
        <v>1870056351.6700001</v>
      </c>
    </row>
    <row r="108" spans="1:20" ht="12" thickTop="1">
      <c r="M108" s="198"/>
      <c r="T108" s="198"/>
    </row>
    <row r="109" spans="1:20">
      <c r="J109" s="400"/>
      <c r="M109" s="198"/>
    </row>
    <row r="110" spans="1:20">
      <c r="H110" s="200"/>
      <c r="J110" s="400"/>
    </row>
    <row r="111" spans="1:20">
      <c r="H111" s="200"/>
      <c r="L111" s="400"/>
    </row>
    <row r="112" spans="1:20" ht="12">
      <c r="A112" s="13"/>
      <c r="B112" s="13"/>
      <c r="C112" s="13"/>
      <c r="D112" s="36"/>
      <c r="E112" s="36"/>
      <c r="F112" s="426"/>
      <c r="G112" s="289"/>
      <c r="H112" s="11"/>
      <c r="I112" s="11"/>
      <c r="J112" s="350"/>
      <c r="K112" s="11"/>
      <c r="L112" s="400"/>
    </row>
    <row r="113" spans="10:12">
      <c r="J113" s="366"/>
      <c r="K113" s="200"/>
      <c r="L113" s="259"/>
    </row>
    <row r="114" spans="10:12">
      <c r="J114" s="457"/>
    </row>
    <row r="115" spans="10:12">
      <c r="J115" s="457"/>
      <c r="L115" s="518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/>
    </sheetView>
  </sheetViews>
  <sheetFormatPr defaultColWidth="9" defaultRowHeight="11.4"/>
  <cols>
    <col min="1" max="1" width="24" bestFit="1" customWidth="1"/>
    <col min="2" max="6" width="24" customWidth="1"/>
    <col min="7" max="7" width="18" customWidth="1"/>
    <col min="8" max="8" width="15.125" bestFit="1" customWidth="1"/>
    <col min="9" max="9" width="15.125" customWidth="1"/>
    <col min="10" max="11" width="15.625" bestFit="1" customWidth="1"/>
    <col min="12" max="12" width="15.75" customWidth="1"/>
    <col min="13" max="14" width="15.125" bestFit="1" customWidth="1"/>
    <col min="15" max="17" width="17.375" bestFit="1" customWidth="1"/>
    <col min="18" max="24" width="15.125" bestFit="1" customWidth="1"/>
    <col min="25" max="26" width="12.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 ht="12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 ht="12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6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 ht="12">
      <c r="A6" s="471"/>
      <c r="B6" s="472"/>
      <c r="C6" s="472"/>
      <c r="D6" s="472"/>
      <c r="E6" s="418"/>
      <c r="F6" s="418"/>
      <c r="G6" s="388"/>
      <c r="H6" s="58"/>
      <c r="I6" s="58"/>
      <c r="J6" s="58"/>
      <c r="K6" s="58"/>
      <c r="L6" s="236"/>
      <c r="M6" s="388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6" thickBot="1">
      <c r="A7" s="227"/>
      <c r="B7" s="467"/>
      <c r="C7" s="467"/>
      <c r="D7" s="467"/>
      <c r="E7" s="467"/>
      <c r="F7" s="467"/>
      <c r="G7" s="467"/>
      <c r="H7" s="467"/>
      <c r="I7" s="467"/>
      <c r="J7" s="467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76"/>
      <c r="Z7" s="238"/>
    </row>
    <row r="8" spans="1:26" ht="12">
      <c r="A8" s="224" t="s">
        <v>103</v>
      </c>
      <c r="B8" s="96"/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 ht="12">
      <c r="A9" s="239" t="s">
        <v>104</v>
      </c>
      <c r="B9" s="149"/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 ht="12">
      <c r="A10" s="239" t="s">
        <v>105</v>
      </c>
      <c r="B10" s="149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 ht="12">
      <c r="A11" s="224" t="s">
        <v>106</v>
      </c>
      <c r="B11" s="96"/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 ht="12">
      <c r="A12" s="239" t="s">
        <v>104</v>
      </c>
      <c r="B12" s="149"/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 ht="12">
      <c r="A13" s="239" t="s">
        <v>105</v>
      </c>
      <c r="B13" s="149"/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 ht="12">
      <c r="A14" s="224" t="s">
        <v>107</v>
      </c>
      <c r="B14" s="96"/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 ht="12">
      <c r="A15" s="239" t="s">
        <v>104</v>
      </c>
      <c r="B15" s="149"/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 ht="12">
      <c r="A16" s="239" t="s">
        <v>105</v>
      </c>
      <c r="B16" s="149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 ht="12">
      <c r="A17" s="224" t="s">
        <v>108</v>
      </c>
      <c r="B17" s="96"/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 ht="12">
      <c r="A18" s="224" t="s">
        <v>3</v>
      </c>
      <c r="B18" s="96"/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 ht="12">
      <c r="A19" s="239" t="s">
        <v>104</v>
      </c>
      <c r="B19" s="149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 ht="12">
      <c r="A20" s="224" t="s">
        <v>109</v>
      </c>
      <c r="B20" s="96"/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 ht="12">
      <c r="A21" s="239" t="s">
        <v>104</v>
      </c>
      <c r="B21" s="149"/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 ht="12">
      <c r="A22" s="224" t="s">
        <v>110</v>
      </c>
      <c r="B22" s="96"/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 ht="12">
      <c r="A23" s="239" t="s">
        <v>104</v>
      </c>
      <c r="B23" s="149"/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 ht="12">
      <c r="A24" s="224" t="s">
        <v>111</v>
      </c>
      <c r="B24" s="96"/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 ht="12">
      <c r="A25" s="239" t="s">
        <v>104</v>
      </c>
      <c r="B25" s="149"/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 ht="12">
      <c r="A26" s="224" t="s">
        <v>112</v>
      </c>
      <c r="B26" s="96"/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 ht="12">
      <c r="A27" s="224" t="s">
        <v>113</v>
      </c>
      <c r="B27" s="96">
        <f>'2022 CF'!M35</f>
        <v>55066161.709999993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 ht="12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 ht="12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 ht="12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 ht="12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 ht="12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 ht="12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 ht="12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 ht="12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 ht="12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 ht="12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 ht="12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 ht="12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 ht="12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 ht="12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 ht="12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 ht="12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 ht="12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 ht="12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 ht="12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 ht="12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 ht="12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 ht="12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 ht="12">
      <c r="A50" s="242" t="s">
        <v>326</v>
      </c>
      <c r="B50" s="9">
        <f>'2023 CF'!M46</f>
        <v>628478399.42999971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 ht="12">
      <c r="A51" s="242" t="s">
        <v>632</v>
      </c>
      <c r="B51" s="9">
        <f>'2024 CF'!M107</f>
        <v>1975966351.6700001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 ht="12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 ht="12">
      <c r="A53" s="242"/>
      <c r="B53" s="76">
        <f>SUM(B8:B52)</f>
        <v>2659510912.8099999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6" thickBot="1">
      <c r="A54" s="244"/>
      <c r="B54" s="387"/>
      <c r="C54" s="387"/>
      <c r="D54" s="387"/>
      <c r="E54" s="344"/>
      <c r="F54" s="344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3.2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 ht="12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 ht="12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 ht="12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 ht="12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 ht="12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 ht="12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 ht="12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 ht="12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 ht="12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 ht="12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 ht="12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 ht="12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 ht="12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 ht="12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 ht="12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 ht="12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 ht="12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 ht="12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 ht="12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 ht="12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 ht="12">
      <c r="K81" s="249"/>
      <c r="Q81" s="83"/>
    </row>
    <row r="82" spans="1:22">
      <c r="A82" t="s">
        <v>140</v>
      </c>
    </row>
    <row r="83" spans="1:22" ht="1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 ht="1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 ht="1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 ht="1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 ht="1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 ht="1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 ht="1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 ht="1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 ht="1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4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5">
        <v>6420558409.0944996</v>
      </c>
    </row>
    <row r="108" spans="1:11">
      <c r="G108" s="305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6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1">
        <v>43326</v>
      </c>
      <c r="B1" s="321"/>
      <c r="C1" s="321"/>
      <c r="D1" s="316"/>
      <c r="E1" s="460">
        <f>'SC1 MRB'!H17+'SC2 State Voted'!H14+'SC3 Small Issue IDBs'!H14+'SC4 TSAHC'!H14+'SC4 MF- TDHCA'!H15+'SC4 MF- Local Collapse'!H50+'SC5 OTHER'!H91</f>
        <v>2012053071</v>
      </c>
      <c r="F1" s="18"/>
      <c r="G1" s="18"/>
      <c r="H1" s="317"/>
      <c r="I1" s="317"/>
      <c r="J1" s="317"/>
      <c r="K1" s="19"/>
      <c r="L1" s="22"/>
      <c r="M1" s="363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8"/>
      <c r="I2" s="318"/>
      <c r="J2" s="318"/>
      <c r="K2" s="27"/>
      <c r="L2" s="11"/>
      <c r="M2" s="364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8"/>
      <c r="I3" s="318"/>
      <c r="J3" s="318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6" thickBot="1">
      <c r="A6" s="38"/>
      <c r="B6" s="38"/>
      <c r="C6" s="33" t="s">
        <v>173</v>
      </c>
      <c r="D6" s="38"/>
      <c r="E6" s="33"/>
      <c r="F6" s="39"/>
      <c r="G6" s="39"/>
      <c r="H6" s="319"/>
      <c r="I6" s="319"/>
      <c r="J6" s="319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6" t="s">
        <v>9</v>
      </c>
    </row>
    <row r="7" spans="1:21" s="13" customFormat="1">
      <c r="F7" s="36"/>
      <c r="G7" s="36"/>
      <c r="H7" s="426"/>
      <c r="I7" s="289"/>
      <c r="J7" s="426"/>
      <c r="K7" s="67"/>
      <c r="L7" s="359"/>
      <c r="M7" s="11"/>
      <c r="N7" s="289"/>
      <c r="O7" s="359"/>
      <c r="P7" s="11"/>
      <c r="R7" s="11"/>
      <c r="T7" s="446"/>
    </row>
    <row r="8" spans="1:21" s="13" customFormat="1">
      <c r="F8" s="36"/>
      <c r="G8" s="36"/>
      <c r="H8" s="426"/>
      <c r="I8" s="289"/>
      <c r="J8" s="426"/>
      <c r="K8" s="67"/>
      <c r="L8" s="359"/>
      <c r="M8" s="11"/>
      <c r="N8" s="289"/>
      <c r="O8" s="359"/>
      <c r="P8" s="289"/>
      <c r="Q8" s="67"/>
      <c r="R8" s="11"/>
    </row>
    <row r="9" spans="1:21" s="13" customFormat="1">
      <c r="F9" s="36"/>
      <c r="G9" s="36"/>
      <c r="H9" s="426"/>
      <c r="I9" s="289"/>
      <c r="J9" s="426"/>
      <c r="K9" s="426"/>
      <c r="L9" s="359"/>
      <c r="M9" s="11"/>
      <c r="N9" s="426"/>
      <c r="O9" s="359"/>
      <c r="P9" s="426"/>
      <c r="Q9" s="426"/>
      <c r="R9" s="11"/>
    </row>
    <row r="10" spans="1:21" s="5" customFormat="1" ht="13.5" customHeight="1">
      <c r="H10" s="410"/>
      <c r="I10" s="352"/>
      <c r="J10" s="349"/>
      <c r="K10" s="349"/>
      <c r="L10" s="6"/>
      <c r="M10" s="6"/>
      <c r="N10" s="349"/>
      <c r="O10" s="6"/>
      <c r="P10" s="349"/>
      <c r="Q10" s="52"/>
      <c r="R10" s="6"/>
      <c r="U10" s="381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0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0"/>
      <c r="I12" s="320"/>
      <c r="J12" s="320"/>
      <c r="K12" s="9"/>
      <c r="N12" s="9"/>
      <c r="P12" s="9"/>
      <c r="Q12" s="9"/>
    </row>
    <row r="13" spans="1:21">
      <c r="C13" s="13"/>
      <c r="E13" s="13"/>
      <c r="G13" s="5" t="s">
        <v>43</v>
      </c>
      <c r="H13" s="320">
        <f>J11-K11</f>
        <v>0</v>
      </c>
      <c r="I13" s="320"/>
      <c r="J13" s="320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2">
        <f>E1-K11+Q11+G24</f>
        <v>2012053071</v>
      </c>
      <c r="I15" s="9"/>
      <c r="J15" s="9"/>
      <c r="K15" s="9"/>
      <c r="N15" s="83"/>
      <c r="P15" s="9"/>
      <c r="Q15" s="83"/>
    </row>
    <row r="16" spans="1:21">
      <c r="H16" s="328" t="s">
        <v>446</v>
      </c>
    </row>
    <row r="17" spans="1:13" s="1" customFormat="1">
      <c r="H17" s="365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8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63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63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63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66"/>
      <c r="H23" s="210"/>
      <c r="I23" s="288"/>
      <c r="L23" s="3"/>
    </row>
    <row r="24" spans="1:13" s="1" customFormat="1">
      <c r="G24" s="315">
        <f>SUM(G20:G23)</f>
        <v>0</v>
      </c>
      <c r="L24" s="3"/>
    </row>
    <row r="26" spans="1:13" s="1" customFormat="1">
      <c r="J26" s="368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36"/>
  <sheetViews>
    <sheetView topLeftCell="B1" zoomScaleNormal="100" workbookViewId="0">
      <selection activeCell="H17" sqref="H17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19.125" style="1" customWidth="1"/>
    <col min="6" max="6" width="23.125" style="1" bestFit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1"/>
      <c r="C1" s="291"/>
      <c r="D1" s="17"/>
      <c r="E1" s="382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0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0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0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3.2">
      <c r="A9" s="13" t="s">
        <v>146</v>
      </c>
      <c r="B9" s="13" t="s">
        <v>146</v>
      </c>
      <c r="C9" s="13">
        <v>5330</v>
      </c>
      <c r="D9" s="13" t="s">
        <v>391</v>
      </c>
      <c r="E9" s="36" t="s">
        <v>410</v>
      </c>
      <c r="F9" s="36" t="s">
        <v>710</v>
      </c>
      <c r="G9" s="36" t="s">
        <v>82</v>
      </c>
      <c r="H9" s="440">
        <v>28000000</v>
      </c>
      <c r="I9" s="441" t="s">
        <v>146</v>
      </c>
      <c r="J9" s="440">
        <f>H9</f>
        <v>28000000</v>
      </c>
      <c r="K9" s="440">
        <v>28000000</v>
      </c>
      <c r="L9" s="11">
        <v>44258</v>
      </c>
      <c r="M9" s="11">
        <f>L9+35</f>
        <v>44293</v>
      </c>
      <c r="N9" s="440">
        <v>26102169</v>
      </c>
      <c r="O9" s="11">
        <f>L9+210</f>
        <v>44468</v>
      </c>
      <c r="P9" s="561">
        <v>0</v>
      </c>
      <c r="Q9" s="440">
        <f>K9-P9</f>
        <v>28000000</v>
      </c>
      <c r="R9" s="11">
        <v>44296</v>
      </c>
      <c r="S9" s="475" t="s">
        <v>711</v>
      </c>
      <c r="T9" s="170"/>
    </row>
    <row r="10" spans="1:21" s="447" customFormat="1" ht="13.2">
      <c r="A10" s="447" t="s">
        <v>146</v>
      </c>
      <c r="B10" s="447" t="s">
        <v>146</v>
      </c>
      <c r="C10" s="447">
        <v>5349</v>
      </c>
      <c r="D10" s="447" t="s">
        <v>638</v>
      </c>
      <c r="E10" s="448" t="s">
        <v>76</v>
      </c>
      <c r="F10" s="448" t="s">
        <v>248</v>
      </c>
      <c r="G10" s="448" t="s">
        <v>152</v>
      </c>
      <c r="H10" s="565">
        <v>179845000</v>
      </c>
      <c r="I10" s="566" t="s">
        <v>146</v>
      </c>
      <c r="J10" s="565">
        <f>H10</f>
        <v>179845000</v>
      </c>
      <c r="K10" s="565">
        <f>J10</f>
        <v>179845000</v>
      </c>
      <c r="L10" s="449">
        <v>44299</v>
      </c>
      <c r="M10" s="449">
        <f>L10+35</f>
        <v>44334</v>
      </c>
      <c r="N10" s="565"/>
      <c r="O10" s="449">
        <f>L10+210</f>
        <v>44509</v>
      </c>
      <c r="P10" s="567"/>
      <c r="Q10" s="565"/>
      <c r="R10" s="449"/>
      <c r="S10" s="555" t="s">
        <v>756</v>
      </c>
      <c r="T10" s="568"/>
    </row>
    <row r="11" spans="1:21" s="13" customFormat="1" ht="13.2">
      <c r="E11" s="36"/>
      <c r="F11" s="36"/>
      <c r="G11" s="36"/>
      <c r="H11" s="440"/>
      <c r="I11" s="441"/>
      <c r="J11" s="440"/>
      <c r="K11" s="440"/>
      <c r="L11" s="11"/>
      <c r="M11" s="11"/>
      <c r="N11" s="561"/>
      <c r="O11" s="11"/>
      <c r="P11" s="440"/>
      <c r="Q11" s="440"/>
      <c r="R11" s="11"/>
      <c r="T11" s="170"/>
    </row>
    <row r="12" spans="1:21" s="5" customFormat="1" ht="13.2">
      <c r="D12" s="13"/>
      <c r="E12" s="26"/>
      <c r="F12" s="26"/>
      <c r="G12" s="26"/>
      <c r="H12" s="73"/>
      <c r="I12" s="115"/>
      <c r="J12" s="73"/>
      <c r="K12" s="73"/>
      <c r="L12" s="6"/>
      <c r="M12" s="6"/>
      <c r="N12" s="46"/>
      <c r="O12" s="6"/>
      <c r="P12" s="73"/>
      <c r="Q12" s="73"/>
      <c r="R12" s="52"/>
      <c r="S12" s="13"/>
      <c r="T12" s="170"/>
      <c r="U12" s="13"/>
    </row>
    <row r="13" spans="1:21" s="13" customFormat="1">
      <c r="A13" s="43"/>
      <c r="B13" s="43"/>
      <c r="C13" s="43"/>
      <c r="D13" s="43"/>
      <c r="E13" s="1"/>
      <c r="F13" s="13" t="s">
        <v>19</v>
      </c>
      <c r="H13" s="263">
        <f>SUM(H9:H12)</f>
        <v>207845000</v>
      </c>
      <c r="I13" s="66"/>
      <c r="J13" s="263">
        <f>SUM(J9:J12)</f>
        <v>207845000</v>
      </c>
      <c r="K13" s="263">
        <f>SUM(K9:K12)</f>
        <v>207845000</v>
      </c>
      <c r="L13" s="11"/>
      <c r="M13" s="10"/>
      <c r="N13" s="263">
        <f>SUM(N9:N12)</f>
        <v>26102169</v>
      </c>
      <c r="O13" s="11"/>
      <c r="P13" s="263">
        <f>SUM(P9:P12)</f>
        <v>0</v>
      </c>
      <c r="Q13" s="263">
        <f>SUM(Q9:Q12)</f>
        <v>28000000</v>
      </c>
    </row>
    <row r="14" spans="1:21">
      <c r="A14" s="5"/>
      <c r="B14" s="5"/>
      <c r="C14" s="5"/>
      <c r="D14" s="88"/>
      <c r="F14" s="13"/>
      <c r="H14" s="76"/>
      <c r="I14" s="1"/>
      <c r="J14" s="11"/>
      <c r="K14" s="11"/>
      <c r="L14" s="11"/>
      <c r="M14" s="6"/>
      <c r="N14" s="1"/>
      <c r="O14" s="11"/>
      <c r="P14" s="1"/>
      <c r="Q14" s="13"/>
    </row>
    <row r="15" spans="1:21">
      <c r="A15" s="5"/>
      <c r="B15" s="5"/>
      <c r="C15" s="5"/>
      <c r="E15" s="5"/>
      <c r="F15" s="13" t="s">
        <v>43</v>
      </c>
      <c r="G15" s="5"/>
      <c r="H15" s="34">
        <f>J13-K13</f>
        <v>0</v>
      </c>
      <c r="I15" s="9"/>
      <c r="J15" s="1"/>
      <c r="K15" s="1"/>
      <c r="L15" s="9"/>
      <c r="N15" s="1"/>
      <c r="O15" s="3"/>
      <c r="P15" s="1"/>
      <c r="Q15" s="13"/>
    </row>
    <row r="16" spans="1:21">
      <c r="A16" s="5"/>
      <c r="B16" s="5"/>
      <c r="C16" s="5"/>
      <c r="E16" s="5"/>
      <c r="G16" s="5"/>
      <c r="H16" s="67"/>
      <c r="I16" s="9"/>
      <c r="J16" s="1"/>
      <c r="K16" s="167"/>
      <c r="L16" s="9"/>
      <c r="N16" s="1"/>
      <c r="O16" s="3"/>
      <c r="P16" s="1"/>
      <c r="Q16" s="13"/>
    </row>
    <row r="17" spans="1:17">
      <c r="A17" s="5"/>
      <c r="B17" s="5"/>
      <c r="C17" s="5"/>
      <c r="E17" s="133"/>
      <c r="F17" s="58" t="s">
        <v>10</v>
      </c>
      <c r="G17" s="5"/>
      <c r="H17" s="77">
        <f>E1-K13+Q13+G21</f>
        <v>1311868090</v>
      </c>
      <c r="I17" s="195"/>
      <c r="J17" s="171"/>
      <c r="K17" s="167"/>
      <c r="L17" s="9"/>
      <c r="M17" s="167"/>
      <c r="N17" s="83"/>
      <c r="P17" s="1"/>
      <c r="Q17" s="13"/>
    </row>
    <row r="18" spans="1:17">
      <c r="E18" s="58"/>
      <c r="F18" s="5"/>
      <c r="G18" s="5"/>
      <c r="H18" s="451"/>
      <c r="I18" s="195"/>
      <c r="J18" s="409"/>
      <c r="K18" s="401"/>
      <c r="L18" s="9"/>
      <c r="M18" s="168"/>
      <c r="N18" s="83"/>
      <c r="Q18" s="1"/>
    </row>
    <row r="19" spans="1:17">
      <c r="E19" s="58"/>
      <c r="F19" s="4"/>
      <c r="G19" s="124"/>
      <c r="H19" s="124"/>
      <c r="I19" s="187"/>
      <c r="J19" s="187"/>
      <c r="K19" s="400"/>
      <c r="L19" s="83"/>
      <c r="M19" s="167"/>
      <c r="N19" s="1"/>
      <c r="O19" s="171"/>
      <c r="P19" s="9"/>
      <c r="Q19" s="1"/>
    </row>
    <row r="20" spans="1:17">
      <c r="A20" s="13"/>
      <c r="B20" s="13"/>
      <c r="C20" s="13">
        <v>5058</v>
      </c>
      <c r="D20" s="202" t="s">
        <v>77</v>
      </c>
      <c r="E20" s="148" t="s">
        <v>76</v>
      </c>
      <c r="F20" s="148" t="s">
        <v>248</v>
      </c>
      <c r="G20" s="564">
        <v>179845000</v>
      </c>
      <c r="H20" s="413" t="s">
        <v>755</v>
      </c>
      <c r="I20" s="413"/>
      <c r="J20" s="171"/>
      <c r="K20" s="171"/>
      <c r="L20" s="83"/>
      <c r="M20" s="171"/>
      <c r="N20" s="1"/>
      <c r="O20" s="167"/>
      <c r="Q20" s="1"/>
    </row>
    <row r="21" spans="1:17">
      <c r="E21" s="148"/>
      <c r="F21" s="133"/>
      <c r="G21" s="315">
        <f>SUM(G20:G20)</f>
        <v>179845000</v>
      </c>
      <c r="H21" s="124"/>
      <c r="I21" s="189"/>
      <c r="K21" s="407"/>
      <c r="L21" s="83"/>
      <c r="M21" s="167"/>
      <c r="N21" s="1"/>
      <c r="Q21" s="1"/>
    </row>
    <row r="22" spans="1:17">
      <c r="E22" s="58"/>
      <c r="F22" s="133"/>
      <c r="G22" s="191"/>
      <c r="H22" s="124"/>
      <c r="I22" s="192"/>
      <c r="K22" s="408"/>
      <c r="L22" s="9"/>
      <c r="N22" s="1"/>
      <c r="Q22" s="1"/>
    </row>
    <row r="23" spans="1:17">
      <c r="G23" s="261"/>
      <c r="I23" s="171"/>
      <c r="K23" s="167"/>
      <c r="L23" s="3"/>
      <c r="Q23" s="1"/>
    </row>
    <row r="24" spans="1:17">
      <c r="G24" s="251"/>
      <c r="H24" s="369"/>
      <c r="I24" s="195"/>
      <c r="K24" s="266"/>
      <c r="Q24" s="1"/>
    </row>
    <row r="25" spans="1:17">
      <c r="G25" s="251"/>
      <c r="H25" s="1"/>
      <c r="I25" s="195"/>
      <c r="K25" s="266"/>
      <c r="Q25" s="1"/>
    </row>
    <row r="26" spans="1:17">
      <c r="H26" s="1"/>
      <c r="I26" s="195"/>
      <c r="K26" s="266"/>
      <c r="Q26" s="1"/>
    </row>
    <row r="27" spans="1:17">
      <c r="H27" s="205"/>
      <c r="I27" s="195"/>
      <c r="Q27" s="1"/>
    </row>
    <row r="28" spans="1:17">
      <c r="H28" s="73"/>
      <c r="I28" s="195"/>
      <c r="Q28" s="1"/>
    </row>
    <row r="29" spans="1:17">
      <c r="H29" s="73"/>
      <c r="I29" s="195"/>
    </row>
    <row r="30" spans="1:17">
      <c r="H30" s="71"/>
    </row>
    <row r="31" spans="1:17">
      <c r="H31" s="73"/>
    </row>
    <row r="32" spans="1:17">
      <c r="H32" s="73"/>
    </row>
    <row r="33" spans="6:17">
      <c r="H33" s="73"/>
    </row>
    <row r="34" spans="6:17">
      <c r="F34" s="1" t="s">
        <v>7</v>
      </c>
      <c r="H34" s="73"/>
      <c r="I34" s="1"/>
      <c r="J34" s="1"/>
      <c r="K34" s="1"/>
      <c r="N34" s="1"/>
      <c r="P34" s="1"/>
      <c r="Q34" s="1"/>
    </row>
    <row r="35" spans="6:17">
      <c r="H35" s="205"/>
    </row>
    <row r="36" spans="6:17">
      <c r="H36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1"/>
      <c r="C1" s="291"/>
      <c r="D1" s="17"/>
      <c r="E1" s="382">
        <f>Totals!D8</f>
        <v>406780803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90" customFormat="1" ht="11.4">
      <c r="A7" s="498" t="s">
        <v>146</v>
      </c>
      <c r="B7" s="498" t="s">
        <v>146</v>
      </c>
      <c r="C7" s="498">
        <v>5269</v>
      </c>
      <c r="D7" s="90" t="s">
        <v>638</v>
      </c>
      <c r="E7" s="90" t="s">
        <v>372</v>
      </c>
      <c r="F7" s="89" t="s">
        <v>453</v>
      </c>
      <c r="G7" s="90" t="s">
        <v>152</v>
      </c>
      <c r="H7" s="499">
        <v>150000000</v>
      </c>
      <c r="I7" s="499">
        <v>150000000</v>
      </c>
      <c r="J7" s="92">
        <v>44201</v>
      </c>
      <c r="K7" s="92">
        <f>J7+35</f>
        <v>44236</v>
      </c>
      <c r="L7" s="523">
        <v>150000000</v>
      </c>
      <c r="M7" s="92">
        <f>J7+210</f>
        <v>44411</v>
      </c>
      <c r="N7" s="500"/>
      <c r="O7" s="500"/>
      <c r="P7" s="92"/>
      <c r="Q7" s="501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3"/>
      <c r="O8" s="403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3"/>
      <c r="O9" s="402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0</v>
      </c>
      <c r="O10" s="263">
        <f t="shared" si="0"/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256780803</v>
      </c>
      <c r="I14" s="292"/>
      <c r="J14" s="138"/>
      <c r="L14" s="9"/>
      <c r="M14" s="138"/>
      <c r="Q14" s="13"/>
    </row>
    <row r="15" spans="1:22"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8"/>
      <c r="J17" s="378"/>
      <c r="L17" s="35"/>
    </row>
    <row r="18" spans="5:12" s="13" customFormat="1">
      <c r="G18" s="315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1"/>
      <c r="C1" s="291"/>
      <c r="D1" s="17"/>
      <c r="E1" s="385">
        <f>Totals!E8</f>
        <v>81356160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7" customFormat="1">
      <c r="A7" s="294"/>
      <c r="B7" s="294"/>
      <c r="C7" s="294"/>
      <c r="F7" s="448"/>
      <c r="H7" s="390"/>
      <c r="I7" s="390"/>
      <c r="J7" s="449"/>
      <c r="K7" s="449"/>
      <c r="L7" s="459"/>
      <c r="M7" s="449"/>
      <c r="N7" s="459"/>
      <c r="O7" s="459"/>
      <c r="P7" s="449"/>
      <c r="Q7" s="458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73"/>
      <c r="E9" s="43"/>
      <c r="F9" s="148"/>
      <c r="G9" s="148"/>
      <c r="H9" s="59"/>
      <c r="I9" s="59"/>
      <c r="J9" s="152"/>
      <c r="K9" s="152"/>
      <c r="L9" s="474"/>
      <c r="M9" s="152"/>
      <c r="N9" s="474"/>
      <c r="O9" s="474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22">
      <c r="A17" s="111"/>
      <c r="B17" s="111"/>
      <c r="C17" s="111"/>
      <c r="G17" s="294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5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4" style="13" bestFit="1" customWidth="1"/>
    <col min="8" max="8" width="15.2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Totals!F8</f>
        <v>106779961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5270</v>
      </c>
      <c r="D7" s="5" t="s">
        <v>638</v>
      </c>
      <c r="E7" s="26" t="s">
        <v>150</v>
      </c>
      <c r="F7" s="5" t="s">
        <v>623</v>
      </c>
      <c r="G7" s="5" t="s">
        <v>79</v>
      </c>
      <c r="H7" s="410">
        <v>16500000</v>
      </c>
      <c r="I7" s="410">
        <v>16500000</v>
      </c>
      <c r="J7" s="6">
        <v>44201</v>
      </c>
      <c r="K7" s="6">
        <f>J7+35</f>
        <v>44236</v>
      </c>
      <c r="L7" s="352">
        <v>16500000</v>
      </c>
      <c r="M7" s="6">
        <f>J7+180</f>
        <v>44381</v>
      </c>
      <c r="N7" s="352"/>
      <c r="O7" s="352"/>
      <c r="P7" s="6"/>
      <c r="Q7" s="5" t="s">
        <v>272</v>
      </c>
      <c r="S7" s="519"/>
    </row>
    <row r="8" spans="1:22" s="90" customFormat="1" ht="11.4">
      <c r="A8" s="90" t="s">
        <v>146</v>
      </c>
      <c r="B8" s="90" t="s">
        <v>146</v>
      </c>
      <c r="C8" s="90">
        <v>5320</v>
      </c>
      <c r="D8" s="90" t="s">
        <v>638</v>
      </c>
      <c r="E8" s="89" t="s">
        <v>150</v>
      </c>
      <c r="F8" s="90" t="s">
        <v>681</v>
      </c>
      <c r="G8" s="90" t="s">
        <v>79</v>
      </c>
      <c r="H8" s="502">
        <v>23500000</v>
      </c>
      <c r="I8" s="502">
        <f>H8</f>
        <v>23500000</v>
      </c>
      <c r="J8" s="92">
        <v>44224</v>
      </c>
      <c r="K8" s="92">
        <f>J8+35</f>
        <v>44259</v>
      </c>
      <c r="L8" s="503">
        <v>23500000</v>
      </c>
      <c r="M8" s="92">
        <f>J8+180</f>
        <v>44404</v>
      </c>
      <c r="N8" s="503"/>
      <c r="O8" s="503"/>
      <c r="P8" s="92"/>
      <c r="Q8" s="90" t="s">
        <v>272</v>
      </c>
      <c r="S8" s="550" t="s">
        <v>683</v>
      </c>
    </row>
    <row r="9" spans="1:22">
      <c r="E9" s="36"/>
      <c r="H9" s="59"/>
      <c r="I9" s="59"/>
      <c r="J9" s="11"/>
      <c r="K9" s="152"/>
      <c r="L9" s="524"/>
      <c r="M9" s="152"/>
      <c r="N9" s="302"/>
      <c r="O9" s="302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2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35"/>
    </row>
    <row r="17" spans="3:13" s="13" customFormat="1">
      <c r="C17" s="43">
        <v>5209</v>
      </c>
      <c r="D17" s="43" t="s">
        <v>77</v>
      </c>
      <c r="E17" s="36" t="s">
        <v>150</v>
      </c>
      <c r="F17" s="36" t="s">
        <v>94</v>
      </c>
      <c r="G17" s="520">
        <v>23500000</v>
      </c>
      <c r="H17" s="389" t="s">
        <v>682</v>
      </c>
      <c r="I17" s="34"/>
      <c r="J17" s="11"/>
      <c r="L17" s="35"/>
    </row>
    <row r="18" spans="3:13" s="13" customFormat="1">
      <c r="G18" s="295">
        <f>SUM(G17:G17)</f>
        <v>23500000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4"/>
    </row>
    <row r="25" spans="3:13" s="13" customFormat="1">
      <c r="G25" s="67"/>
      <c r="H25" s="57"/>
      <c r="I25" s="34"/>
      <c r="K25" s="98"/>
      <c r="L25" s="15"/>
      <c r="M25" s="394"/>
    </row>
    <row r="26" spans="3:13" s="13" customFormat="1">
      <c r="G26" s="67"/>
      <c r="H26" s="57"/>
      <c r="I26" s="34"/>
      <c r="K26" s="98"/>
      <c r="L26" s="398"/>
      <c r="M26" s="49"/>
    </row>
    <row r="27" spans="3:13" s="13" customFormat="1">
      <c r="G27" s="67"/>
      <c r="H27" s="57"/>
      <c r="I27" s="34"/>
      <c r="K27" s="98"/>
      <c r="L27" s="398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8"/>
    </row>
    <row r="30" spans="3:13" s="13" customFormat="1">
      <c r="G30" s="67"/>
      <c r="H30" s="57"/>
      <c r="I30" s="34"/>
      <c r="K30" s="98"/>
      <c r="L30" s="398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0"/>
  <sheetViews>
    <sheetView zoomScaleNormal="100" workbookViewId="0">
      <pane ySplit="6" topLeftCell="A7" activePane="bottomLeft" state="frozen"/>
      <selection activeCell="K30" sqref="I28:K30"/>
      <selection pane="bottomLeft" activeCell="H15" sqref="H15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3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9" width="17.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5">
        <f>Totals!G8</f>
        <v>213559922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5326</v>
      </c>
      <c r="D7" s="5" t="s">
        <v>638</v>
      </c>
      <c r="E7" s="5" t="s">
        <v>76</v>
      </c>
      <c r="F7" s="5" t="s">
        <v>694</v>
      </c>
      <c r="G7" s="5" t="s">
        <v>78</v>
      </c>
      <c r="H7" s="349">
        <v>6000000</v>
      </c>
      <c r="I7" s="349">
        <f>H7</f>
        <v>6000000</v>
      </c>
      <c r="J7" s="6">
        <v>44253</v>
      </c>
      <c r="K7" s="6">
        <f>J7+35</f>
        <v>44288</v>
      </c>
      <c r="L7" s="349">
        <v>6000000</v>
      </c>
      <c r="M7" s="6">
        <f>J7+180</f>
        <v>44433</v>
      </c>
      <c r="N7" s="349"/>
      <c r="O7" s="349"/>
      <c r="P7" s="6"/>
      <c r="Q7" s="5" t="s">
        <v>264</v>
      </c>
      <c r="R7" s="510" t="s">
        <v>699</v>
      </c>
      <c r="S7" s="381" t="s">
        <v>703</v>
      </c>
    </row>
    <row r="8" spans="1:22" s="447" customFormat="1">
      <c r="A8" s="447" t="s">
        <v>146</v>
      </c>
      <c r="B8" s="447" t="s">
        <v>146</v>
      </c>
      <c r="C8" s="447">
        <v>5327</v>
      </c>
      <c r="D8" s="447" t="s">
        <v>390</v>
      </c>
      <c r="E8" s="447" t="s">
        <v>76</v>
      </c>
      <c r="F8" s="447" t="s">
        <v>695</v>
      </c>
      <c r="G8" s="447" t="s">
        <v>78</v>
      </c>
      <c r="H8" s="390">
        <v>5000000</v>
      </c>
      <c r="I8" s="390">
        <f>H8</f>
        <v>5000000</v>
      </c>
      <c r="J8" s="449">
        <v>44253</v>
      </c>
      <c r="K8" s="449">
        <f>J8+35</f>
        <v>44288</v>
      </c>
      <c r="L8" s="390">
        <v>0</v>
      </c>
      <c r="M8" s="449">
        <f>J8+180</f>
        <v>44433</v>
      </c>
      <c r="N8" s="390">
        <v>0</v>
      </c>
      <c r="O8" s="390">
        <f>I8-N8</f>
        <v>5000000</v>
      </c>
      <c r="P8" s="449">
        <v>44287</v>
      </c>
      <c r="Q8" s="447" t="s">
        <v>209</v>
      </c>
      <c r="R8" s="554" t="s">
        <v>698</v>
      </c>
      <c r="S8" s="555" t="s">
        <v>704</v>
      </c>
    </row>
    <row r="9" spans="1:22"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H10" s="289"/>
      <c r="I10" s="289"/>
      <c r="J10" s="11"/>
      <c r="K10" s="11"/>
      <c r="L10" s="289"/>
      <c r="M10" s="11"/>
      <c r="N10" s="289"/>
      <c r="O10" s="289"/>
      <c r="P10" s="11"/>
      <c r="R10" s="348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11000000</v>
      </c>
      <c r="I11" s="263">
        <f>SUM(I7:I10)</f>
        <v>11000000</v>
      </c>
      <c r="J11" s="10"/>
      <c r="K11" s="10"/>
      <c r="L11" s="263">
        <f>SUM(L7:L10)</f>
        <v>6000000</v>
      </c>
      <c r="M11" s="10"/>
      <c r="N11" s="263">
        <f>SUM(N7:N10)</f>
        <v>0</v>
      </c>
      <c r="O11" s="263">
        <f>SUM(O7:O10)</f>
        <v>5000000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K13" s="3"/>
      <c r="L13" s="9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J14" s="3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E1-I11+O11+G23</f>
        <v>213559922</v>
      </c>
      <c r="I15" s="292"/>
      <c r="J15" s="138"/>
      <c r="L15" s="3"/>
      <c r="M15" s="138"/>
      <c r="N15" s="350"/>
      <c r="O15" s="2"/>
      <c r="Q15" s="13"/>
    </row>
    <row r="16" spans="1:22">
      <c r="I16" s="303"/>
      <c r="L16" s="399"/>
      <c r="M16" s="11"/>
      <c r="N16" s="350"/>
      <c r="O16" s="2"/>
    </row>
    <row r="17" spans="3:15">
      <c r="H17" s="34"/>
      <c r="I17" s="128"/>
      <c r="J17" s="11"/>
      <c r="K17" s="60"/>
      <c r="L17" s="201"/>
      <c r="M17" s="398"/>
      <c r="N17" s="415"/>
      <c r="O17" s="399"/>
    </row>
    <row r="18" spans="3:15">
      <c r="F18" s="58"/>
      <c r="G18" s="262"/>
      <c r="I18" s="44"/>
      <c r="J18" s="49"/>
      <c r="K18" s="60"/>
      <c r="L18" s="11"/>
      <c r="M18" s="12"/>
      <c r="N18" s="405"/>
      <c r="O18" s="13"/>
    </row>
    <row r="19" spans="3:15">
      <c r="G19" s="10"/>
      <c r="H19" s="288"/>
      <c r="I19" s="164"/>
      <c r="M19" s="49"/>
      <c r="N19" s="398"/>
    </row>
    <row r="20" spans="3:15">
      <c r="G20" s="10"/>
      <c r="H20" s="288"/>
      <c r="I20" s="164"/>
      <c r="J20" s="12"/>
      <c r="L20" s="452"/>
      <c r="M20" s="49"/>
    </row>
    <row r="21" spans="3:15">
      <c r="G21" s="10"/>
      <c r="H21" s="288"/>
      <c r="I21" s="164"/>
      <c r="M21" s="49"/>
    </row>
    <row r="22" spans="3:15">
      <c r="C22" s="13">
        <v>5204</v>
      </c>
      <c r="D22" s="13" t="s">
        <v>77</v>
      </c>
      <c r="E22" s="13" t="s">
        <v>76</v>
      </c>
      <c r="F22" s="13" t="s">
        <v>94</v>
      </c>
      <c r="G22" s="10">
        <v>6000000</v>
      </c>
      <c r="H22" s="288" t="s">
        <v>747</v>
      </c>
      <c r="I22" s="164"/>
      <c r="M22" s="49"/>
    </row>
    <row r="23" spans="3:15">
      <c r="G23" s="295">
        <f>SUM(G22:G22)</f>
        <v>6000000</v>
      </c>
      <c r="J23" s="11"/>
    </row>
    <row r="24" spans="3:15">
      <c r="J24" s="11"/>
    </row>
    <row r="25" spans="3:15">
      <c r="J25" s="11"/>
    </row>
    <row r="29" spans="3:15">
      <c r="J29" s="11"/>
    </row>
    <row r="30" spans="3:15">
      <c r="J30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5"/>
  <sheetViews>
    <sheetView workbookViewId="0">
      <selection activeCell="H50" sqref="H50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7.6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3.125" style="1" bestFit="1" customWidth="1"/>
    <col min="19" max="19" width="20" style="1" bestFit="1" customWidth="1"/>
    <col min="20" max="16384" width="9.125" style="1"/>
  </cols>
  <sheetData>
    <row r="1" spans="1:22" s="17" customFormat="1" ht="11.4">
      <c r="A1" s="16" t="s">
        <v>12</v>
      </c>
      <c r="B1" s="291"/>
      <c r="C1" s="291"/>
      <c r="E1" s="382">
        <f>'REGION 1'!H14+'REGION 2'!H13+'REGION 3'!H32+'REGION 4'!H13+'REGION 5'!H14+'REGION 6'!H29+'REGION 7'!H30+'REGION 8'!H13+'REGION 9'!H15+'REGION 10'!H13+'REGION 11'!H14+'REGION 12'!H13+'REGION 13'!H14</f>
        <v>270959725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13" customFormat="1">
      <c r="A7" s="13">
        <v>22</v>
      </c>
      <c r="B7" s="13">
        <v>40</v>
      </c>
      <c r="C7" s="13">
        <v>5331</v>
      </c>
      <c r="D7" s="13" t="s">
        <v>390</v>
      </c>
      <c r="E7" s="13" t="s">
        <v>212</v>
      </c>
      <c r="F7" s="36" t="s">
        <v>329</v>
      </c>
      <c r="G7" s="36" t="s">
        <v>213</v>
      </c>
      <c r="H7" s="289">
        <v>25000000</v>
      </c>
      <c r="I7" s="289">
        <f>H7</f>
        <v>25000000</v>
      </c>
      <c r="J7" s="11">
        <v>44261</v>
      </c>
      <c r="K7" s="11">
        <f>J7+35</f>
        <v>44296</v>
      </c>
      <c r="L7" s="350">
        <v>0</v>
      </c>
      <c r="M7" s="11">
        <f>J7+180</f>
        <v>44441</v>
      </c>
      <c r="N7" s="350">
        <v>0</v>
      </c>
      <c r="O7" s="314">
        <f>I7-L7</f>
        <v>25000000</v>
      </c>
      <c r="P7" s="11">
        <v>44285</v>
      </c>
      <c r="Q7" s="13" t="s">
        <v>209</v>
      </c>
      <c r="R7" s="446" t="s">
        <v>715</v>
      </c>
    </row>
    <row r="8" spans="1:22" s="5" customFormat="1" ht="11.4">
      <c r="A8" s="5">
        <v>26</v>
      </c>
      <c r="B8" s="5">
        <v>48</v>
      </c>
      <c r="C8" s="5">
        <v>5332</v>
      </c>
      <c r="D8" s="5" t="s">
        <v>638</v>
      </c>
      <c r="E8" s="5" t="s">
        <v>265</v>
      </c>
      <c r="F8" s="26" t="s">
        <v>456</v>
      </c>
      <c r="G8" s="26" t="s">
        <v>211</v>
      </c>
      <c r="H8" s="349">
        <v>25000000</v>
      </c>
      <c r="I8" s="349">
        <f t="shared" ref="I8:I10" si="0">H8</f>
        <v>25000000</v>
      </c>
      <c r="J8" s="6">
        <v>44261</v>
      </c>
      <c r="K8" s="6">
        <f t="shared" ref="K8:K11" si="1">J8+35</f>
        <v>44296</v>
      </c>
      <c r="L8" s="349">
        <v>25000000</v>
      </c>
      <c r="M8" s="6">
        <f t="shared" ref="M8:M9" si="2">J8+180</f>
        <v>44441</v>
      </c>
      <c r="N8" s="429"/>
      <c r="O8" s="551"/>
      <c r="P8" s="6"/>
      <c r="Q8" s="5" t="s">
        <v>264</v>
      </c>
      <c r="R8" s="510" t="s">
        <v>719</v>
      </c>
    </row>
    <row r="9" spans="1:22" s="5" customFormat="1" ht="11.4">
      <c r="A9" s="5">
        <v>35</v>
      </c>
      <c r="B9" s="5">
        <v>57</v>
      </c>
      <c r="C9" s="5">
        <v>5333</v>
      </c>
      <c r="D9" s="5" t="s">
        <v>638</v>
      </c>
      <c r="E9" s="5" t="s">
        <v>141</v>
      </c>
      <c r="F9" s="26" t="s">
        <v>340</v>
      </c>
      <c r="G9" s="26" t="s">
        <v>341</v>
      </c>
      <c r="H9" s="352">
        <v>69152737</v>
      </c>
      <c r="I9" s="349">
        <f t="shared" si="0"/>
        <v>69152737</v>
      </c>
      <c r="J9" s="6">
        <v>44261</v>
      </c>
      <c r="K9" s="6">
        <f t="shared" si="1"/>
        <v>44296</v>
      </c>
      <c r="L9" s="349">
        <f>I9</f>
        <v>69152737</v>
      </c>
      <c r="M9" s="6">
        <f t="shared" si="2"/>
        <v>44441</v>
      </c>
      <c r="N9" s="349"/>
      <c r="O9" s="349"/>
      <c r="P9" s="6"/>
      <c r="Q9" s="5" t="s">
        <v>264</v>
      </c>
      <c r="R9" s="510" t="s">
        <v>719</v>
      </c>
      <c r="S9" s="381" t="s">
        <v>723</v>
      </c>
    </row>
    <row r="10" spans="1:22" s="5" customFormat="1" ht="11.4">
      <c r="A10" s="5">
        <v>37</v>
      </c>
      <c r="B10" s="5">
        <v>8</v>
      </c>
      <c r="C10" s="5">
        <v>5334</v>
      </c>
      <c r="D10" s="5" t="s">
        <v>638</v>
      </c>
      <c r="E10" s="5" t="s">
        <v>489</v>
      </c>
      <c r="F10" s="26" t="s">
        <v>492</v>
      </c>
      <c r="G10" s="26" t="s">
        <v>491</v>
      </c>
      <c r="H10" s="349">
        <v>18000000</v>
      </c>
      <c r="I10" s="349">
        <f t="shared" si="0"/>
        <v>18000000</v>
      </c>
      <c r="J10" s="6">
        <v>44261</v>
      </c>
      <c r="K10" s="6">
        <f t="shared" si="1"/>
        <v>44296</v>
      </c>
      <c r="L10" s="349">
        <v>18000000</v>
      </c>
      <c r="M10" s="6">
        <f>J10+180</f>
        <v>44441</v>
      </c>
      <c r="N10" s="429"/>
      <c r="O10" s="551"/>
      <c r="P10" s="6"/>
      <c r="Q10" s="5" t="s">
        <v>241</v>
      </c>
      <c r="R10" s="510" t="s">
        <v>719</v>
      </c>
    </row>
    <row r="11" spans="1:22" s="5" customFormat="1" ht="11.4">
      <c r="A11" s="5">
        <v>50</v>
      </c>
      <c r="B11" s="5">
        <v>73</v>
      </c>
      <c r="C11" s="5">
        <v>5335</v>
      </c>
      <c r="D11" s="5" t="s">
        <v>638</v>
      </c>
      <c r="E11" s="5" t="s">
        <v>141</v>
      </c>
      <c r="F11" s="26" t="s">
        <v>406</v>
      </c>
      <c r="G11" s="26" t="s">
        <v>275</v>
      </c>
      <c r="H11" s="352">
        <v>50000000</v>
      </c>
      <c r="I11" s="349">
        <f>H11</f>
        <v>50000000</v>
      </c>
      <c r="J11" s="6">
        <v>44264</v>
      </c>
      <c r="K11" s="6">
        <f t="shared" si="1"/>
        <v>44299</v>
      </c>
      <c r="L11" s="349">
        <v>50000000</v>
      </c>
      <c r="M11" s="6">
        <f>J11+180</f>
        <v>44444</v>
      </c>
      <c r="N11" s="349"/>
      <c r="O11" s="349"/>
      <c r="P11" s="6"/>
      <c r="Q11" s="5" t="s">
        <v>264</v>
      </c>
      <c r="R11" s="510" t="s">
        <v>724</v>
      </c>
    </row>
    <row r="12" spans="1:22" s="13" customFormat="1">
      <c r="A12" s="13">
        <v>53</v>
      </c>
      <c r="B12" s="13">
        <v>76</v>
      </c>
      <c r="C12" s="13" t="s">
        <v>501</v>
      </c>
      <c r="D12" s="13" t="s">
        <v>390</v>
      </c>
      <c r="E12" s="13" t="s">
        <v>268</v>
      </c>
      <c r="F12" s="36" t="s">
        <v>418</v>
      </c>
      <c r="G12" s="36" t="s">
        <v>419</v>
      </c>
      <c r="H12" s="289">
        <v>0</v>
      </c>
      <c r="I12" s="289"/>
      <c r="J12" s="11"/>
      <c r="K12" s="11"/>
      <c r="L12" s="350"/>
      <c r="M12" s="11"/>
      <c r="N12" s="289"/>
      <c r="O12" s="289"/>
      <c r="P12" s="11"/>
      <c r="Q12" s="13" t="s">
        <v>264</v>
      </c>
      <c r="R12" s="93" t="s">
        <v>717</v>
      </c>
    </row>
    <row r="13" spans="1:22" s="5" customFormat="1" ht="11.4">
      <c r="A13" s="5">
        <v>58</v>
      </c>
      <c r="B13" s="5">
        <v>34</v>
      </c>
      <c r="C13" s="5">
        <v>5336</v>
      </c>
      <c r="D13" s="5" t="s">
        <v>638</v>
      </c>
      <c r="E13" s="5" t="s">
        <v>394</v>
      </c>
      <c r="F13" s="26" t="s">
        <v>395</v>
      </c>
      <c r="G13" s="26" t="s">
        <v>148</v>
      </c>
      <c r="H13" s="349">
        <v>15000000</v>
      </c>
      <c r="I13" s="349">
        <v>15000000</v>
      </c>
      <c r="J13" s="6">
        <v>44264</v>
      </c>
      <c r="K13" s="6">
        <f>J13+35</f>
        <v>44299</v>
      </c>
      <c r="L13" s="349">
        <v>15000000</v>
      </c>
      <c r="M13" s="6">
        <f>J13+180</f>
        <v>44444</v>
      </c>
      <c r="N13" s="349"/>
      <c r="O13" s="349"/>
      <c r="P13" s="6"/>
      <c r="Q13" s="5" t="s">
        <v>241</v>
      </c>
      <c r="R13" s="510" t="s">
        <v>718</v>
      </c>
    </row>
    <row r="14" spans="1:22" s="13" customFormat="1">
      <c r="A14" s="13">
        <v>61</v>
      </c>
      <c r="B14" s="13">
        <v>82</v>
      </c>
      <c r="C14" s="13" t="s">
        <v>463</v>
      </c>
      <c r="D14" s="13" t="s">
        <v>390</v>
      </c>
      <c r="E14" s="13" t="s">
        <v>266</v>
      </c>
      <c r="F14" s="36" t="s">
        <v>476</v>
      </c>
      <c r="G14" s="36" t="s">
        <v>78</v>
      </c>
      <c r="H14" s="426">
        <v>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93" t="s">
        <v>727</v>
      </c>
    </row>
    <row r="15" spans="1:22" s="13" customFormat="1">
      <c r="A15" s="13">
        <v>65</v>
      </c>
      <c r="B15" s="13">
        <v>85</v>
      </c>
      <c r="C15" s="13" t="s">
        <v>522</v>
      </c>
      <c r="D15" s="13" t="s">
        <v>390</v>
      </c>
      <c r="E15" s="13" t="s">
        <v>221</v>
      </c>
      <c r="F15" s="36" t="s">
        <v>400</v>
      </c>
      <c r="G15" s="36" t="s">
        <v>79</v>
      </c>
      <c r="H15" s="426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93" t="s">
        <v>716</v>
      </c>
    </row>
    <row r="16" spans="1:22" s="13" customFormat="1">
      <c r="A16" s="13">
        <v>69</v>
      </c>
      <c r="B16" s="13">
        <v>91</v>
      </c>
      <c r="C16" s="13" t="s">
        <v>502</v>
      </c>
      <c r="D16" s="13" t="s">
        <v>730</v>
      </c>
      <c r="E16" s="13" t="s">
        <v>269</v>
      </c>
      <c r="F16" s="36" t="s">
        <v>508</v>
      </c>
      <c r="G16" s="36" t="s">
        <v>80</v>
      </c>
      <c r="H16" s="426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43" t="s">
        <v>728</v>
      </c>
    </row>
    <row r="17" spans="1:19" s="13" customFormat="1">
      <c r="A17" s="13">
        <v>70</v>
      </c>
      <c r="B17" s="13">
        <v>92</v>
      </c>
      <c r="C17" s="13" t="s">
        <v>523</v>
      </c>
      <c r="D17" s="13" t="s">
        <v>390</v>
      </c>
      <c r="E17" s="13" t="s">
        <v>141</v>
      </c>
      <c r="F17" s="36" t="s">
        <v>530</v>
      </c>
      <c r="G17" s="36" t="s">
        <v>271</v>
      </c>
      <c r="H17" s="426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93" t="s">
        <v>729</v>
      </c>
    </row>
    <row r="18" spans="1:19" s="13" customFormat="1">
      <c r="A18" s="13">
        <v>72</v>
      </c>
      <c r="B18" s="13">
        <v>93</v>
      </c>
      <c r="C18" s="13" t="s">
        <v>464</v>
      </c>
      <c r="D18" s="13" t="s">
        <v>390</v>
      </c>
      <c r="E18" s="13" t="s">
        <v>266</v>
      </c>
      <c r="F18" s="36" t="s">
        <v>477</v>
      </c>
      <c r="G18" s="36" t="s">
        <v>78</v>
      </c>
      <c r="H18" s="426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93" t="s">
        <v>732</v>
      </c>
    </row>
    <row r="19" spans="1:19" s="13" customFormat="1">
      <c r="A19" s="13">
        <v>77</v>
      </c>
      <c r="B19" s="13">
        <v>97</v>
      </c>
      <c r="C19" s="13" t="s">
        <v>503</v>
      </c>
      <c r="D19" s="13" t="s">
        <v>390</v>
      </c>
      <c r="E19" s="13" t="s">
        <v>268</v>
      </c>
      <c r="F19" s="36" t="s">
        <v>424</v>
      </c>
      <c r="G19" s="36" t="s">
        <v>388</v>
      </c>
      <c r="H19" s="426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93" t="s">
        <v>732</v>
      </c>
      <c r="S19" s="475"/>
    </row>
    <row r="20" spans="1:19" s="5" customFormat="1" ht="11.4">
      <c r="A20" s="5">
        <v>78</v>
      </c>
      <c r="B20" s="5">
        <v>98</v>
      </c>
      <c r="C20" s="5">
        <v>5340</v>
      </c>
      <c r="D20" s="5" t="s">
        <v>638</v>
      </c>
      <c r="E20" s="5" t="s">
        <v>269</v>
      </c>
      <c r="F20" s="26" t="s">
        <v>509</v>
      </c>
      <c r="G20" s="26" t="s">
        <v>80</v>
      </c>
      <c r="H20" s="349">
        <v>20000000</v>
      </c>
      <c r="I20" s="349">
        <f>H20</f>
        <v>20000000</v>
      </c>
      <c r="J20" s="6">
        <v>44275</v>
      </c>
      <c r="K20" s="6">
        <f>J20+35</f>
        <v>44310</v>
      </c>
      <c r="L20" s="429"/>
      <c r="M20" s="6">
        <f>J20+180</f>
        <v>44455</v>
      </c>
      <c r="N20" s="349"/>
      <c r="O20" s="349"/>
      <c r="P20" s="6"/>
      <c r="Q20" s="5" t="s">
        <v>264</v>
      </c>
      <c r="R20" s="510" t="s">
        <v>733</v>
      </c>
    </row>
    <row r="21" spans="1:19" s="13" customFormat="1">
      <c r="A21" s="13">
        <v>80</v>
      </c>
      <c r="B21" s="13">
        <v>100</v>
      </c>
      <c r="C21" s="13" t="s">
        <v>505</v>
      </c>
      <c r="D21" s="13" t="s">
        <v>390</v>
      </c>
      <c r="E21" s="13" t="s">
        <v>218</v>
      </c>
      <c r="F21" s="36" t="s">
        <v>510</v>
      </c>
      <c r="G21" s="36" t="s">
        <v>80</v>
      </c>
      <c r="H21" s="28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43" t="s">
        <v>744</v>
      </c>
    </row>
    <row r="22" spans="1:19" s="13" customFormat="1">
      <c r="A22" s="13">
        <v>82</v>
      </c>
      <c r="B22" s="13">
        <v>102</v>
      </c>
      <c r="C22" s="13" t="s">
        <v>465</v>
      </c>
      <c r="D22" s="13" t="s">
        <v>390</v>
      </c>
      <c r="E22" s="13" t="s">
        <v>266</v>
      </c>
      <c r="F22" s="36" t="s">
        <v>478</v>
      </c>
      <c r="G22" s="36" t="s">
        <v>78</v>
      </c>
      <c r="H22" s="289">
        <v>0</v>
      </c>
      <c r="I22" s="289"/>
      <c r="J22" s="11"/>
      <c r="K22" s="11"/>
      <c r="L22" s="289"/>
      <c r="M22" s="11"/>
      <c r="N22" s="289"/>
      <c r="O22" s="289"/>
      <c r="P22" s="11"/>
      <c r="Q22" s="13" t="s">
        <v>264</v>
      </c>
      <c r="R22" s="93" t="s">
        <v>746</v>
      </c>
    </row>
    <row r="23" spans="1:19" s="5" customFormat="1" ht="11.4">
      <c r="A23" s="5">
        <v>83</v>
      </c>
      <c r="B23" s="5">
        <v>104</v>
      </c>
      <c r="C23" s="5">
        <v>5341</v>
      </c>
      <c r="D23" s="5" t="s">
        <v>638</v>
      </c>
      <c r="E23" s="5" t="s">
        <v>218</v>
      </c>
      <c r="F23" s="26" t="s">
        <v>514</v>
      </c>
      <c r="G23" s="26" t="s">
        <v>80</v>
      </c>
      <c r="H23" s="349">
        <v>27000000</v>
      </c>
      <c r="I23" s="349">
        <f>H23</f>
        <v>27000000</v>
      </c>
      <c r="J23" s="6">
        <v>44286</v>
      </c>
      <c r="K23" s="6">
        <f>J23+35</f>
        <v>44321</v>
      </c>
      <c r="L23" s="429"/>
      <c r="M23" s="6">
        <f>J23+180</f>
        <v>44466</v>
      </c>
      <c r="N23" s="349"/>
      <c r="O23" s="349"/>
      <c r="P23" s="6"/>
      <c r="Q23" s="5" t="s">
        <v>272</v>
      </c>
      <c r="R23" s="142"/>
    </row>
    <row r="24" spans="1:19" s="13" customFormat="1">
      <c r="A24" s="13">
        <v>90</v>
      </c>
      <c r="B24" s="13">
        <v>106</v>
      </c>
      <c r="C24" s="13" t="s">
        <v>525</v>
      </c>
      <c r="D24" s="13" t="s">
        <v>390</v>
      </c>
      <c r="E24" s="13" t="s">
        <v>141</v>
      </c>
      <c r="F24" s="36" t="s">
        <v>342</v>
      </c>
      <c r="G24" s="36" t="s">
        <v>343</v>
      </c>
      <c r="H24" s="426">
        <v>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 s="90" customFormat="1" ht="11.4">
      <c r="A25" s="90">
        <v>91</v>
      </c>
      <c r="B25" s="90">
        <v>107</v>
      </c>
      <c r="C25" s="90">
        <v>5342</v>
      </c>
      <c r="D25" s="90" t="s">
        <v>638</v>
      </c>
      <c r="E25" s="90" t="s">
        <v>266</v>
      </c>
      <c r="F25" s="89" t="s">
        <v>482</v>
      </c>
      <c r="G25" s="89" t="s">
        <v>78</v>
      </c>
      <c r="H25" s="503">
        <v>32000000</v>
      </c>
      <c r="I25" s="499">
        <f>H25</f>
        <v>32000000</v>
      </c>
      <c r="J25" s="92">
        <v>44286</v>
      </c>
      <c r="K25" s="92">
        <f>J25+35</f>
        <v>44321</v>
      </c>
      <c r="L25" s="499"/>
      <c r="M25" s="92">
        <f>J25+180</f>
        <v>44466</v>
      </c>
      <c r="N25" s="499"/>
      <c r="O25" s="499"/>
      <c r="P25" s="92"/>
      <c r="Q25" s="90" t="s">
        <v>272</v>
      </c>
      <c r="R25" s="92"/>
    </row>
    <row r="26" spans="1:19" s="13" customFormat="1">
      <c r="A26" s="13">
        <v>100</v>
      </c>
      <c r="B26" s="13">
        <v>110</v>
      </c>
      <c r="C26" s="13" t="s">
        <v>512</v>
      </c>
      <c r="D26" s="13" t="s">
        <v>43</v>
      </c>
      <c r="E26" s="13" t="s">
        <v>269</v>
      </c>
      <c r="F26" s="36" t="s">
        <v>515</v>
      </c>
      <c r="G26" s="36" t="s">
        <v>80</v>
      </c>
      <c r="H26" s="289">
        <v>69152737</v>
      </c>
      <c r="I26" s="289"/>
      <c r="J26" s="11"/>
      <c r="K26" s="11"/>
      <c r="L26" s="350"/>
      <c r="M26" s="11"/>
      <c r="N26" s="289"/>
      <c r="O26" s="289"/>
      <c r="P26" s="11"/>
      <c r="Q26" s="13" t="s">
        <v>272</v>
      </c>
    </row>
    <row r="27" spans="1:19" s="13" customFormat="1">
      <c r="A27" s="13">
        <v>104</v>
      </c>
      <c r="B27" s="13">
        <v>111</v>
      </c>
      <c r="C27" s="13" t="s">
        <v>526</v>
      </c>
      <c r="D27" s="13" t="s">
        <v>390</v>
      </c>
      <c r="E27" s="13" t="s">
        <v>221</v>
      </c>
      <c r="F27" s="36" t="s">
        <v>531</v>
      </c>
      <c r="G27" s="36" t="s">
        <v>79</v>
      </c>
      <c r="H27" s="426">
        <v>0</v>
      </c>
      <c r="I27" s="289"/>
      <c r="J27" s="11"/>
      <c r="K27" s="11"/>
      <c r="L27" s="289"/>
      <c r="M27" s="11"/>
      <c r="N27" s="289"/>
      <c r="O27" s="289"/>
      <c r="P27" s="11"/>
      <c r="Q27" s="13" t="s">
        <v>272</v>
      </c>
      <c r="R27" s="93"/>
    </row>
    <row r="28" spans="1:19" s="13" customFormat="1">
      <c r="A28" s="13">
        <v>105</v>
      </c>
      <c r="B28" s="13">
        <v>112</v>
      </c>
      <c r="C28" s="13" t="s">
        <v>513</v>
      </c>
      <c r="D28" s="13" t="s">
        <v>43</v>
      </c>
      <c r="E28" s="13" t="s">
        <v>269</v>
      </c>
      <c r="F28" s="36" t="s">
        <v>516</v>
      </c>
      <c r="G28" s="36" t="s">
        <v>80</v>
      </c>
      <c r="H28" s="289">
        <v>69152737</v>
      </c>
      <c r="I28" s="289"/>
      <c r="J28" s="11"/>
      <c r="K28" s="11"/>
      <c r="L28" s="350"/>
      <c r="M28" s="11"/>
      <c r="N28" s="289"/>
      <c r="O28" s="289"/>
      <c r="P28" s="11"/>
      <c r="Q28" s="13" t="s">
        <v>272</v>
      </c>
    </row>
    <row r="29" spans="1:19" s="13" customFormat="1">
      <c r="A29" s="13">
        <v>106</v>
      </c>
      <c r="B29" s="13">
        <v>114</v>
      </c>
      <c r="C29" s="13" t="s">
        <v>480</v>
      </c>
      <c r="D29" s="13" t="s">
        <v>43</v>
      </c>
      <c r="E29" s="13" t="s">
        <v>266</v>
      </c>
      <c r="F29" s="36" t="s">
        <v>483</v>
      </c>
      <c r="G29" s="36" t="s">
        <v>78</v>
      </c>
      <c r="H29" s="426">
        <v>40000000</v>
      </c>
      <c r="I29" s="289"/>
      <c r="J29" s="11"/>
      <c r="K29" s="11"/>
      <c r="L29" s="289"/>
      <c r="M29" s="11"/>
      <c r="N29" s="289"/>
      <c r="O29" s="289"/>
      <c r="P29" s="11"/>
      <c r="Q29" s="13" t="s">
        <v>272</v>
      </c>
      <c r="R29" s="11"/>
    </row>
    <row r="30" spans="1:19" s="13" customFormat="1">
      <c r="A30" s="13">
        <v>112</v>
      </c>
      <c r="B30" s="13">
        <v>42</v>
      </c>
      <c r="C30" s="13" t="s">
        <v>486</v>
      </c>
      <c r="D30" s="13" t="s">
        <v>43</v>
      </c>
      <c r="E30" s="13" t="s">
        <v>416</v>
      </c>
      <c r="F30" s="36" t="s">
        <v>487</v>
      </c>
      <c r="G30" s="36" t="s">
        <v>349</v>
      </c>
      <c r="H30" s="289">
        <v>30000000</v>
      </c>
      <c r="I30" s="289"/>
      <c r="J30" s="11"/>
      <c r="K30" s="11"/>
      <c r="L30" s="289"/>
      <c r="M30" s="11"/>
      <c r="N30" s="289"/>
      <c r="O30" s="314"/>
      <c r="P30" s="11"/>
      <c r="Q30" s="13" t="s">
        <v>242</v>
      </c>
      <c r="R30" s="93"/>
    </row>
    <row r="31" spans="1:19" s="13" customFormat="1">
      <c r="A31" s="13">
        <v>115</v>
      </c>
      <c r="B31" s="13">
        <v>118</v>
      </c>
      <c r="C31" s="13" t="s">
        <v>528</v>
      </c>
      <c r="D31" s="13" t="s">
        <v>43</v>
      </c>
      <c r="E31" s="13" t="s">
        <v>141</v>
      </c>
      <c r="F31" s="36" t="s">
        <v>219</v>
      </c>
      <c r="G31" s="36" t="s">
        <v>142</v>
      </c>
      <c r="H31" s="426">
        <v>45000000</v>
      </c>
      <c r="I31" s="289"/>
      <c r="J31" s="11"/>
      <c r="K31" s="11"/>
      <c r="L31" s="289"/>
      <c r="M31" s="11"/>
      <c r="N31" s="289"/>
      <c r="O31" s="289"/>
      <c r="P31" s="11"/>
      <c r="Q31" s="13" t="s">
        <v>272</v>
      </c>
      <c r="R31" s="11"/>
    </row>
    <row r="32" spans="1:19" s="13" customFormat="1">
      <c r="A32" s="13">
        <v>117</v>
      </c>
      <c r="B32" s="13">
        <v>119</v>
      </c>
      <c r="C32" s="13" t="s">
        <v>481</v>
      </c>
      <c r="D32" s="13" t="s">
        <v>43</v>
      </c>
      <c r="E32" s="13" t="s">
        <v>266</v>
      </c>
      <c r="F32" s="36" t="s">
        <v>484</v>
      </c>
      <c r="G32" s="36" t="s">
        <v>78</v>
      </c>
      <c r="H32" s="426">
        <v>40000000</v>
      </c>
      <c r="I32" s="289"/>
      <c r="J32" s="11"/>
      <c r="K32" s="11"/>
      <c r="L32" s="289"/>
      <c r="M32" s="11"/>
      <c r="N32" s="289"/>
      <c r="O32" s="289"/>
      <c r="P32" s="11"/>
      <c r="Q32" s="13" t="s">
        <v>272</v>
      </c>
      <c r="R32" s="11"/>
    </row>
    <row r="33" spans="1:19" s="13" customFormat="1">
      <c r="A33" s="13" t="s">
        <v>146</v>
      </c>
      <c r="B33" s="13" t="s">
        <v>146</v>
      </c>
      <c r="C33" s="13" t="s">
        <v>485</v>
      </c>
      <c r="D33" s="13" t="s">
        <v>43</v>
      </c>
      <c r="E33" s="13" t="s">
        <v>266</v>
      </c>
      <c r="F33" s="36" t="s">
        <v>330</v>
      </c>
      <c r="G33" s="36" t="s">
        <v>78</v>
      </c>
      <c r="H33" s="426">
        <v>40000000</v>
      </c>
      <c r="I33" s="289"/>
      <c r="J33" s="11"/>
      <c r="K33" s="11"/>
      <c r="L33" s="289"/>
      <c r="M33" s="11"/>
      <c r="N33" s="289"/>
      <c r="O33" s="289"/>
      <c r="P33" s="11"/>
      <c r="Q33" s="13" t="s">
        <v>272</v>
      </c>
      <c r="R33" s="11"/>
    </row>
    <row r="34" spans="1:19" s="13" customFormat="1">
      <c r="A34" s="13" t="s">
        <v>146</v>
      </c>
      <c r="B34" s="13" t="s">
        <v>146</v>
      </c>
      <c r="C34" s="13" t="s">
        <v>673</v>
      </c>
      <c r="D34" s="13" t="s">
        <v>43</v>
      </c>
      <c r="E34" s="13" t="s">
        <v>266</v>
      </c>
      <c r="F34" s="36" t="s">
        <v>674</v>
      </c>
      <c r="G34" s="36" t="s">
        <v>78</v>
      </c>
      <c r="H34" s="426">
        <v>42000000</v>
      </c>
      <c r="I34" s="289"/>
      <c r="J34" s="11"/>
      <c r="K34" s="11"/>
      <c r="L34" s="289"/>
      <c r="M34" s="11"/>
      <c r="N34" s="289"/>
      <c r="O34" s="289"/>
      <c r="P34" s="11"/>
      <c r="Q34" s="13" t="s">
        <v>272</v>
      </c>
      <c r="R34" s="93"/>
    </row>
    <row r="35" spans="1:19" s="13" customFormat="1">
      <c r="A35" s="13" t="s">
        <v>146</v>
      </c>
      <c r="B35" s="13" t="s">
        <v>146</v>
      </c>
      <c r="C35" s="13" t="s">
        <v>675</v>
      </c>
      <c r="D35" s="13" t="s">
        <v>43</v>
      </c>
      <c r="E35" s="13" t="s">
        <v>266</v>
      </c>
      <c r="F35" s="36" t="s">
        <v>469</v>
      </c>
      <c r="G35" s="36" t="s">
        <v>78</v>
      </c>
      <c r="H35" s="426">
        <v>50000000</v>
      </c>
      <c r="I35" s="289"/>
      <c r="J35" s="11"/>
      <c r="K35" s="11"/>
      <c r="L35" s="289"/>
      <c r="M35" s="11"/>
      <c r="N35" s="289"/>
      <c r="O35" s="289"/>
      <c r="P35" s="11"/>
      <c r="Q35" s="13" t="s">
        <v>272</v>
      </c>
      <c r="R35" s="93"/>
    </row>
    <row r="36" spans="1:19" s="13" customFormat="1">
      <c r="A36" s="13" t="s">
        <v>146</v>
      </c>
      <c r="B36" s="13" t="s">
        <v>146</v>
      </c>
      <c r="C36" s="13" t="s">
        <v>706</v>
      </c>
      <c r="D36" s="13" t="s">
        <v>43</v>
      </c>
      <c r="E36" s="13" t="s">
        <v>707</v>
      </c>
      <c r="F36" s="36" t="s">
        <v>708</v>
      </c>
      <c r="G36" s="36" t="s">
        <v>709</v>
      </c>
      <c r="H36" s="426">
        <v>37000000</v>
      </c>
      <c r="I36" s="289"/>
      <c r="J36" s="11"/>
      <c r="K36" s="11"/>
      <c r="L36" s="289"/>
      <c r="M36" s="11"/>
      <c r="N36" s="289"/>
      <c r="O36" s="289"/>
      <c r="P36" s="11"/>
      <c r="Q36" s="13" t="s">
        <v>272</v>
      </c>
      <c r="R36" s="93"/>
    </row>
    <row r="37" spans="1:19" s="13" customFormat="1">
      <c r="A37" s="13" t="s">
        <v>146</v>
      </c>
      <c r="B37" s="13" t="s">
        <v>146</v>
      </c>
      <c r="C37" s="13" t="s">
        <v>712</v>
      </c>
      <c r="D37" s="13" t="s">
        <v>390</v>
      </c>
      <c r="E37" s="13" t="s">
        <v>713</v>
      </c>
      <c r="F37" s="36" t="s">
        <v>714</v>
      </c>
      <c r="G37" s="36" t="s">
        <v>81</v>
      </c>
      <c r="H37" s="426">
        <v>0</v>
      </c>
      <c r="I37" s="289"/>
      <c r="J37" s="11"/>
      <c r="K37" s="11"/>
      <c r="L37" s="289"/>
      <c r="M37" s="11"/>
      <c r="N37" s="289"/>
      <c r="O37" s="289"/>
      <c r="P37" s="11"/>
      <c r="Q37" s="13" t="s">
        <v>272</v>
      </c>
      <c r="R37" s="93"/>
    </row>
    <row r="38" spans="1:19" s="13" customFormat="1">
      <c r="A38" s="13" t="s">
        <v>146</v>
      </c>
      <c r="B38" s="13" t="s">
        <v>146</v>
      </c>
      <c r="C38" s="13" t="s">
        <v>720</v>
      </c>
      <c r="D38" s="13" t="s">
        <v>43</v>
      </c>
      <c r="E38" s="13" t="s">
        <v>268</v>
      </c>
      <c r="F38" s="36" t="s">
        <v>418</v>
      </c>
      <c r="G38" s="36" t="s">
        <v>419</v>
      </c>
      <c r="H38" s="426">
        <v>22500000</v>
      </c>
      <c r="I38" s="289"/>
      <c r="J38" s="11"/>
      <c r="K38" s="11"/>
      <c r="L38" s="289"/>
      <c r="M38" s="11"/>
      <c r="N38" s="289"/>
      <c r="O38" s="289"/>
      <c r="P38" s="11"/>
      <c r="Q38" s="13" t="s">
        <v>272</v>
      </c>
      <c r="R38" s="93"/>
    </row>
    <row r="39" spans="1:19" s="13" customFormat="1">
      <c r="A39" s="13" t="s">
        <v>146</v>
      </c>
      <c r="B39" s="13" t="s">
        <v>146</v>
      </c>
      <c r="C39" s="13" t="s">
        <v>736</v>
      </c>
      <c r="D39" s="13" t="s">
        <v>43</v>
      </c>
      <c r="E39" s="13" t="s">
        <v>97</v>
      </c>
      <c r="F39" s="36" t="s">
        <v>737</v>
      </c>
      <c r="G39" s="36" t="s">
        <v>95</v>
      </c>
      <c r="H39" s="426">
        <v>17320000</v>
      </c>
      <c r="I39" s="289"/>
      <c r="J39" s="11"/>
      <c r="K39" s="11"/>
      <c r="L39" s="289"/>
      <c r="M39" s="11"/>
      <c r="N39" s="289"/>
      <c r="O39" s="289"/>
      <c r="P39" s="11"/>
      <c r="Q39" s="13" t="s">
        <v>272</v>
      </c>
      <c r="R39" s="93"/>
    </row>
    <row r="40" spans="1:19" s="13" customFormat="1">
      <c r="A40" s="13" t="s">
        <v>146</v>
      </c>
      <c r="B40" s="13" t="s">
        <v>146</v>
      </c>
      <c r="C40" s="13" t="s">
        <v>738</v>
      </c>
      <c r="D40" s="13" t="s">
        <v>43</v>
      </c>
      <c r="E40" s="13" t="s">
        <v>97</v>
      </c>
      <c r="F40" s="36" t="s">
        <v>739</v>
      </c>
      <c r="G40" s="36" t="s">
        <v>95</v>
      </c>
      <c r="H40" s="426">
        <v>22680000</v>
      </c>
      <c r="I40" s="289"/>
      <c r="J40" s="11"/>
      <c r="K40" s="11"/>
      <c r="L40" s="289"/>
      <c r="M40" s="11"/>
      <c r="N40" s="289"/>
      <c r="O40" s="289"/>
      <c r="P40" s="11"/>
      <c r="Q40" s="13" t="s">
        <v>272</v>
      </c>
      <c r="R40" s="93"/>
    </row>
    <row r="41" spans="1:19" s="13" customFormat="1">
      <c r="A41" s="13" t="s">
        <v>146</v>
      </c>
      <c r="B41" s="13" t="s">
        <v>146</v>
      </c>
      <c r="C41" s="13" t="s">
        <v>742</v>
      </c>
      <c r="D41" s="13" t="s">
        <v>43</v>
      </c>
      <c r="E41" s="13" t="s">
        <v>266</v>
      </c>
      <c r="F41" s="36" t="s">
        <v>743</v>
      </c>
      <c r="G41" s="36" t="s">
        <v>78</v>
      </c>
      <c r="H41" s="426">
        <v>38000000</v>
      </c>
      <c r="I41" s="289"/>
      <c r="J41" s="11"/>
      <c r="K41" s="11"/>
      <c r="L41" s="289"/>
      <c r="M41" s="11"/>
      <c r="N41" s="289"/>
      <c r="O41" s="289"/>
      <c r="P41" s="11"/>
      <c r="Q41" s="13" t="s">
        <v>272</v>
      </c>
      <c r="R41" s="93"/>
    </row>
    <row r="42" spans="1:19" s="5" customFormat="1" ht="11.4">
      <c r="A42" s="5" t="s">
        <v>146</v>
      </c>
      <c r="B42" s="5" t="s">
        <v>146</v>
      </c>
      <c r="C42" s="5">
        <v>5347</v>
      </c>
      <c r="D42" s="5" t="s">
        <v>638</v>
      </c>
      <c r="E42" s="5" t="s">
        <v>143</v>
      </c>
      <c r="F42" s="26" t="s">
        <v>745</v>
      </c>
      <c r="G42" s="26" t="s">
        <v>79</v>
      </c>
      <c r="H42" s="352">
        <v>25000000</v>
      </c>
      <c r="I42" s="349">
        <f>H42</f>
        <v>25000000</v>
      </c>
      <c r="J42" s="6">
        <v>44294</v>
      </c>
      <c r="K42" s="6">
        <f>J42+35</f>
        <v>44329</v>
      </c>
      <c r="L42" s="349"/>
      <c r="M42" s="6">
        <f>J42+180</f>
        <v>44474</v>
      </c>
      <c r="N42" s="349"/>
      <c r="O42" s="349"/>
      <c r="P42" s="6"/>
      <c r="Q42" s="5" t="s">
        <v>272</v>
      </c>
      <c r="R42" s="142"/>
      <c r="S42" s="381" t="s">
        <v>750</v>
      </c>
    </row>
    <row r="43" spans="1:19" s="13" customFormat="1">
      <c r="A43" s="13" t="s">
        <v>146</v>
      </c>
      <c r="B43" s="13" t="s">
        <v>146</v>
      </c>
      <c r="C43" s="13" t="s">
        <v>748</v>
      </c>
      <c r="D43" s="13" t="s">
        <v>43</v>
      </c>
      <c r="E43" s="13" t="s">
        <v>266</v>
      </c>
      <c r="F43" s="36" t="s">
        <v>476</v>
      </c>
      <c r="G43" s="36" t="s">
        <v>78</v>
      </c>
      <c r="H43" s="426">
        <v>50000000</v>
      </c>
      <c r="I43" s="289"/>
      <c r="J43" s="11"/>
      <c r="K43" s="11"/>
      <c r="L43" s="289"/>
      <c r="M43" s="11"/>
      <c r="N43" s="289"/>
      <c r="O43" s="289"/>
      <c r="P43" s="11"/>
      <c r="Q43" s="13" t="s">
        <v>272</v>
      </c>
      <c r="R43" s="93"/>
    </row>
    <row r="44" spans="1:19" s="5" customFormat="1" ht="11.4">
      <c r="A44" s="5" t="s">
        <v>146</v>
      </c>
      <c r="B44" s="5" t="s">
        <v>146</v>
      </c>
      <c r="C44" s="5">
        <v>5348</v>
      </c>
      <c r="D44" s="5" t="s">
        <v>638</v>
      </c>
      <c r="E44" s="5" t="s">
        <v>168</v>
      </c>
      <c r="F44" s="26" t="s">
        <v>751</v>
      </c>
      <c r="G44" s="26" t="s">
        <v>169</v>
      </c>
      <c r="H44" s="352">
        <v>2000000</v>
      </c>
      <c r="I44" s="349">
        <f>H44</f>
        <v>2000000</v>
      </c>
      <c r="J44" s="6">
        <v>44294</v>
      </c>
      <c r="K44" s="6">
        <f>J44+35</f>
        <v>44329</v>
      </c>
      <c r="L44" s="349"/>
      <c r="M44" s="6">
        <f>J44+180</f>
        <v>44474</v>
      </c>
      <c r="N44" s="349"/>
      <c r="O44" s="349"/>
      <c r="P44" s="6"/>
      <c r="Q44" s="5" t="s">
        <v>272</v>
      </c>
      <c r="R44" s="142"/>
    </row>
    <row r="45" spans="1:19">
      <c r="A45" s="13"/>
      <c r="B45" s="13"/>
      <c r="E45" s="202"/>
      <c r="F45" s="13"/>
      <c r="G45" s="454"/>
      <c r="H45" s="455"/>
      <c r="I45" s="456"/>
      <c r="J45" s="3"/>
      <c r="K45" s="3"/>
      <c r="L45" s="83"/>
      <c r="M45" s="3"/>
    </row>
    <row r="46" spans="1:19">
      <c r="C46" s="13"/>
      <c r="D46" s="13"/>
      <c r="E46" s="13"/>
      <c r="F46" s="13" t="s">
        <v>19</v>
      </c>
      <c r="G46" s="13"/>
      <c r="H46" s="263">
        <f>SUM(H7:H45)</f>
        <v>920958211</v>
      </c>
      <c r="I46" s="263">
        <f>SUM(I7:I45)</f>
        <v>308152737</v>
      </c>
      <c r="J46" s="10"/>
      <c r="K46" s="10"/>
      <c r="L46" s="263">
        <f>SUM(L7:L45)</f>
        <v>177152737</v>
      </c>
      <c r="M46" s="10"/>
      <c r="N46" s="263">
        <f>SUM(N7:N45)</f>
        <v>0</v>
      </c>
      <c r="O46" s="263">
        <f>SUM(O7:O45)</f>
        <v>25000000</v>
      </c>
      <c r="P46" s="13"/>
    </row>
    <row r="47" spans="1:19">
      <c r="C47" s="43"/>
      <c r="D47" s="43"/>
      <c r="E47" s="148"/>
      <c r="F47" s="13"/>
      <c r="H47" s="76"/>
      <c r="J47" s="11"/>
      <c r="K47" s="11"/>
      <c r="L47" s="9"/>
      <c r="M47" s="6"/>
      <c r="O47" s="1"/>
    </row>
    <row r="48" spans="1:19">
      <c r="F48" s="13" t="s">
        <v>43</v>
      </c>
      <c r="G48" s="5"/>
      <c r="H48" s="34">
        <f>H46-I46</f>
        <v>612805474</v>
      </c>
      <c r="I48" s="9"/>
      <c r="J48" s="3"/>
      <c r="K48" s="3"/>
      <c r="L48" s="9"/>
      <c r="O48" s="1"/>
    </row>
    <row r="49" spans="1:17">
      <c r="G49" s="5"/>
      <c r="H49" s="67"/>
      <c r="I49" s="9"/>
      <c r="J49" s="3"/>
      <c r="L49" s="9"/>
      <c r="N49" s="76"/>
      <c r="O49" s="1"/>
    </row>
    <row r="50" spans="1:17">
      <c r="A50" s="43"/>
      <c r="B50" s="43"/>
      <c r="F50" s="58" t="s">
        <v>10</v>
      </c>
      <c r="G50" s="5"/>
      <c r="H50" s="77">
        <f>E1-I46+O46+G59</f>
        <v>34557503</v>
      </c>
      <c r="I50" s="292"/>
      <c r="J50" s="3"/>
      <c r="L50" s="9"/>
      <c r="M50" s="138"/>
      <c r="O50" s="1"/>
      <c r="Q50" s="13"/>
    </row>
    <row r="51" spans="1:17">
      <c r="F51" s="58"/>
      <c r="G51" s="5"/>
      <c r="H51" s="124"/>
      <c r="I51" s="195"/>
      <c r="J51" s="3"/>
      <c r="L51" s="9"/>
      <c r="M51" s="138"/>
      <c r="O51" s="1"/>
    </row>
    <row r="52" spans="1:17">
      <c r="F52" s="58"/>
      <c r="G52" s="5"/>
      <c r="H52" s="124"/>
      <c r="I52" s="292"/>
      <c r="J52" s="138"/>
      <c r="K52" s="3"/>
      <c r="L52" s="9"/>
      <c r="M52" s="138"/>
      <c r="O52" s="1"/>
    </row>
    <row r="53" spans="1:17">
      <c r="C53" s="43"/>
      <c r="D53" s="43"/>
      <c r="E53" s="148"/>
      <c r="F53" s="13"/>
      <c r="G53" s="13"/>
      <c r="H53" s="12"/>
      <c r="I53" s="41"/>
      <c r="J53" s="13"/>
      <c r="K53" s="11"/>
      <c r="L53" s="405"/>
      <c r="M53" s="11"/>
      <c r="N53" s="57"/>
      <c r="O53" s="12"/>
      <c r="P53" s="13"/>
    </row>
    <row r="54" spans="1:17">
      <c r="C54" s="13">
        <v>5233</v>
      </c>
      <c r="D54" s="13" t="s">
        <v>77</v>
      </c>
      <c r="E54" s="13" t="s">
        <v>141</v>
      </c>
      <c r="F54" s="13" t="s">
        <v>94</v>
      </c>
      <c r="G54" s="66">
        <v>515</v>
      </c>
      <c r="H54" s="288" t="s">
        <v>721</v>
      </c>
      <c r="I54" s="41"/>
      <c r="J54" s="13"/>
      <c r="K54" s="13"/>
      <c r="L54" s="198"/>
      <c r="M54" s="11"/>
      <c r="N54" s="57"/>
      <c r="O54" s="12"/>
      <c r="P54" s="13"/>
    </row>
    <row r="55" spans="1:17">
      <c r="C55" s="13">
        <v>5236</v>
      </c>
      <c r="D55" s="13" t="s">
        <v>77</v>
      </c>
      <c r="E55" s="13" t="s">
        <v>141</v>
      </c>
      <c r="F55" s="13" t="s">
        <v>94</v>
      </c>
      <c r="G55" s="66">
        <v>4750000</v>
      </c>
      <c r="H55" s="288" t="s">
        <v>722</v>
      </c>
      <c r="I55" s="41"/>
      <c r="J55" s="13"/>
      <c r="K55" s="13"/>
      <c r="L55" s="198"/>
      <c r="M55" s="11"/>
      <c r="N55" s="57"/>
      <c r="O55" s="12"/>
      <c r="P55" s="13"/>
    </row>
    <row r="56" spans="1:17">
      <c r="C56" s="13">
        <v>5240</v>
      </c>
      <c r="D56" s="13" t="s">
        <v>77</v>
      </c>
      <c r="E56" s="13" t="s">
        <v>269</v>
      </c>
      <c r="F56" s="13" t="s">
        <v>94</v>
      </c>
      <c r="G56" s="66">
        <v>15000000</v>
      </c>
      <c r="H56" s="288" t="s">
        <v>734</v>
      </c>
      <c r="I56" s="41"/>
      <c r="J56" s="13"/>
      <c r="K56" s="13"/>
      <c r="L56" s="198"/>
      <c r="M56" s="11"/>
      <c r="N56" s="57"/>
      <c r="O56" s="12"/>
      <c r="P56" s="13"/>
    </row>
    <row r="57" spans="1:17">
      <c r="C57" s="13">
        <v>5238</v>
      </c>
      <c r="D57" s="13" t="s">
        <v>77</v>
      </c>
      <c r="E57" s="13" t="s">
        <v>143</v>
      </c>
      <c r="F57" s="13" t="s">
        <v>94</v>
      </c>
      <c r="G57" s="66">
        <v>25000000</v>
      </c>
      <c r="H57" s="288" t="s">
        <v>749</v>
      </c>
      <c r="I57" s="41"/>
      <c r="J57" s="13"/>
      <c r="K57" s="13"/>
      <c r="L57" s="198"/>
      <c r="M57" s="11"/>
      <c r="N57" s="57"/>
      <c r="O57" s="12"/>
      <c r="P57" s="13"/>
    </row>
    <row r="58" spans="1:17">
      <c r="C58" s="13">
        <v>5095</v>
      </c>
      <c r="D58" s="13" t="s">
        <v>77</v>
      </c>
      <c r="E58" s="13" t="s">
        <v>168</v>
      </c>
      <c r="F58" s="13" t="s">
        <v>94</v>
      </c>
      <c r="G58" s="552">
        <v>2000000</v>
      </c>
      <c r="H58" s="288" t="s">
        <v>752</v>
      </c>
      <c r="I58" s="41"/>
      <c r="J58" s="13"/>
      <c r="K58" s="13"/>
      <c r="L58" s="198"/>
      <c r="M58" s="11"/>
      <c r="N58" s="57"/>
      <c r="O58" s="12"/>
      <c r="P58" s="13"/>
    </row>
    <row r="59" spans="1:17">
      <c r="F59" s="13"/>
      <c r="G59" s="295">
        <f>SUM(G54:G58)</f>
        <v>46750515</v>
      </c>
      <c r="H59" s="12"/>
      <c r="I59" s="41"/>
      <c r="J59" s="13"/>
      <c r="K59" s="13"/>
      <c r="L59" s="400"/>
      <c r="M59" s="11"/>
      <c r="N59" s="57"/>
      <c r="O59" s="12"/>
      <c r="P59" s="13"/>
    </row>
    <row r="60" spans="1:17">
      <c r="L60" s="414"/>
    </row>
    <row r="61" spans="1:17">
      <c r="G61" s="83"/>
    </row>
    <row r="62" spans="1:17">
      <c r="C62" s="13"/>
      <c r="D62" s="13"/>
      <c r="E62" s="13"/>
      <c r="F62" s="36"/>
    </row>
    <row r="63" spans="1:17">
      <c r="G63" s="2"/>
    </row>
    <row r="64" spans="1:17">
      <c r="G64" s="140"/>
    </row>
    <row r="65" spans="7:7">
      <c r="G65" s="140"/>
    </row>
  </sheetData>
  <autoFilter ref="A6:S6" xr:uid="{00000000-0001-0000-0600-000000000000}"/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2025-04-23T19:51:45Z</dcterms:modified>
</cp:coreProperties>
</file>